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 - GESTION IMMOBILIER\RESIDENCE PRINCIPALE\Chateau BELMONT - ANDILLY\Copropriété\Etat des Dépenses\"/>
    </mc:Choice>
  </mc:AlternateContent>
  <xr:revisionPtr revIDLastSave="0" documentId="13_ncr:1_{99BF1E98-8566-4A24-B614-FDB7DC127993}" xr6:coauthVersionLast="47" xr6:coauthVersionMax="47" xr10:uidLastSave="{00000000-0000-0000-0000-000000000000}"/>
  <bookViews>
    <workbookView xWindow="-28920" yWindow="-1890" windowWidth="29040" windowHeight="17520" activeTab="1" xr2:uid="{417D4C32-772F-44A3-9EA2-92A45AA21655}"/>
  </bookViews>
  <sheets>
    <sheet name="Analyse consommation" sheetId="2" r:id="rId1"/>
    <sheet name="FACTURES GAZ" sheetId="1" r:id="rId2"/>
    <sheet name="Sheet2" sheetId="3" r:id="rId3"/>
  </sheets>
  <definedNames>
    <definedName name="_xlnm.Print_Area" localSheetId="0">'Analyse consommation'!$B$1:$F$36</definedName>
    <definedName name="_xlnm.Print_Area" localSheetId="1">'FACTURES GAZ'!$A$3:$L$91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7" i="1" l="1"/>
  <c r="G117" i="1"/>
  <c r="H116" i="1"/>
  <c r="G116" i="1"/>
  <c r="H106" i="1"/>
  <c r="G113" i="1"/>
  <c r="F112" i="1"/>
  <c r="F113" i="1" s="1"/>
  <c r="E109" i="1"/>
  <c r="D107" i="1"/>
  <c r="D108" i="1" s="1"/>
  <c r="E99" i="1"/>
  <c r="E100" i="1"/>
  <c r="E101" i="1"/>
  <c r="F101" i="1" s="1"/>
  <c r="F97" i="1" s="1"/>
  <c r="E102" i="1"/>
  <c r="E103" i="1"/>
  <c r="E98" i="1"/>
  <c r="G97" i="1"/>
  <c r="H97" i="1"/>
  <c r="D97" i="1"/>
  <c r="D117" i="1"/>
  <c r="E117" i="1" s="1"/>
  <c r="F117" i="1" s="1"/>
  <c r="D116" i="1"/>
  <c r="E116" i="1" s="1"/>
  <c r="F116" i="1" s="1"/>
  <c r="E107" i="1"/>
  <c r="E108" i="1" s="1"/>
  <c r="F107" i="1"/>
  <c r="F108" i="1" s="1"/>
  <c r="G107" i="1"/>
  <c r="G108" i="1" s="1"/>
  <c r="H107" i="1"/>
  <c r="C113" i="1"/>
  <c r="C97" i="1"/>
  <c r="A31" i="1"/>
  <c r="K36" i="1"/>
  <c r="K68" i="1" s="1"/>
  <c r="K96" i="1" s="1"/>
  <c r="D22" i="2"/>
  <c r="D21" i="2"/>
  <c r="B29" i="2"/>
  <c r="L22" i="1"/>
  <c r="L19" i="1"/>
  <c r="L8" i="1"/>
  <c r="L9" i="1"/>
  <c r="L10" i="1"/>
  <c r="L11" i="1"/>
  <c r="L12" i="1"/>
  <c r="L13" i="1"/>
  <c r="A62" i="1"/>
  <c r="A63" i="1" s="1"/>
  <c r="D62" i="1"/>
  <c r="E62" i="1" s="1"/>
  <c r="F62" i="1" s="1"/>
  <c r="D63" i="1"/>
  <c r="E63" i="1" s="1"/>
  <c r="F63" i="1" s="1"/>
  <c r="G62" i="1"/>
  <c r="G63" i="1"/>
  <c r="I73" i="1"/>
  <c r="I72" i="1"/>
  <c r="A98" i="1"/>
  <c r="A99" i="1" s="1"/>
  <c r="A100" i="1" s="1"/>
  <c r="A101" i="1" s="1"/>
  <c r="A102" i="1" s="1"/>
  <c r="A103" i="1" s="1"/>
  <c r="A70" i="1"/>
  <c r="A71" i="1" s="1"/>
  <c r="A72" i="1" s="1"/>
  <c r="A73" i="1" s="1"/>
  <c r="A54" i="1"/>
  <c r="A55" i="1" s="1"/>
  <c r="A56" i="1" s="1"/>
  <c r="A57" i="1" s="1"/>
  <c r="A58" i="1" s="1"/>
  <c r="A59" i="1" s="1"/>
  <c r="A60" i="1" s="1"/>
  <c r="A29" i="1"/>
  <c r="A30" i="1" s="1"/>
  <c r="A23" i="1"/>
  <c r="A24" i="1" s="1"/>
  <c r="A25" i="1" s="1"/>
  <c r="A26" i="1" s="1"/>
  <c r="A16" i="1"/>
  <c r="A17" i="1" s="1"/>
  <c r="A18" i="1" s="1"/>
  <c r="A19" i="1" s="1"/>
  <c r="A20" i="1" s="1"/>
  <c r="A21" i="1" s="1"/>
  <c r="A38" i="1"/>
  <c r="A39" i="1" s="1"/>
  <c r="A40" i="1" s="1"/>
  <c r="A41" i="1" s="1"/>
  <c r="A42" i="1" s="1"/>
  <c r="A43" i="1" s="1"/>
  <c r="A44" i="1" s="1"/>
  <c r="I40" i="1"/>
  <c r="I41" i="1"/>
  <c r="C108" i="1"/>
  <c r="A105" i="1"/>
  <c r="A111" i="1" s="1"/>
  <c r="A115" i="1" s="1"/>
  <c r="A68" i="1"/>
  <c r="A36" i="1"/>
  <c r="E14" i="1"/>
  <c r="F9" i="1"/>
  <c r="G9" i="1" s="1"/>
  <c r="H9" i="1" s="1"/>
  <c r="G8" i="1"/>
  <c r="H8" i="1"/>
  <c r="F8" i="1"/>
  <c r="F30" i="1"/>
  <c r="G30" i="1" s="1"/>
  <c r="H30" i="1" s="1"/>
  <c r="F19" i="1"/>
  <c r="J7" i="1"/>
  <c r="J36" i="1"/>
  <c r="J68" i="1" s="1"/>
  <c r="J96" i="1" s="1"/>
  <c r="I36" i="1"/>
  <c r="I68" i="1" s="1"/>
  <c r="I96" i="1" s="1"/>
  <c r="H108" i="1" l="1"/>
  <c r="I108" i="1" s="1"/>
  <c r="E113" i="1"/>
  <c r="E97" i="1"/>
  <c r="I97" i="1"/>
  <c r="K97" i="1" s="1"/>
  <c r="I62" i="1"/>
  <c r="A74" i="1"/>
  <c r="A75" i="1" s="1"/>
  <c r="G19" i="1"/>
  <c r="G6" i="2" l="1"/>
  <c r="H19" i="1"/>
  <c r="I19" i="1" s="1"/>
  <c r="H90" i="1" l="1"/>
  <c r="F85" i="1"/>
  <c r="F81" i="1"/>
  <c r="E87" i="1"/>
  <c r="D91" i="1"/>
  <c r="E91" i="1" s="1"/>
  <c r="F91" i="1" s="1"/>
  <c r="G91" i="1" s="1"/>
  <c r="D90" i="1"/>
  <c r="E90" i="1" s="1"/>
  <c r="F90" i="1" s="1"/>
  <c r="I90" i="1" s="1"/>
  <c r="H81" i="1"/>
  <c r="C80" i="1"/>
  <c r="H79" i="1"/>
  <c r="H80" i="1" s="1"/>
  <c r="G79" i="1"/>
  <c r="G80" i="1" s="1"/>
  <c r="G86" i="1" s="1"/>
  <c r="G87" i="1" s="1"/>
  <c r="F79" i="1"/>
  <c r="F80" i="1" s="1"/>
  <c r="F87" i="1" s="1"/>
  <c r="E79" i="1"/>
  <c r="E80" i="1" s="1"/>
  <c r="D79" i="1"/>
  <c r="D80" i="1" s="1"/>
  <c r="D86" i="1" s="1"/>
  <c r="D87" i="1" s="1"/>
  <c r="A77" i="1"/>
  <c r="G71" i="1"/>
  <c r="G69" i="1" s="1"/>
  <c r="G66" i="1" s="1"/>
  <c r="G67" i="1" s="1"/>
  <c r="D69" i="1"/>
  <c r="D66" i="1" s="1"/>
  <c r="D67" i="1" s="1"/>
  <c r="H69" i="1"/>
  <c r="H66" i="1" s="1"/>
  <c r="H67" i="1" s="1"/>
  <c r="F69" i="1"/>
  <c r="F66" i="1" s="1"/>
  <c r="F67" i="1" s="1"/>
  <c r="C69" i="1"/>
  <c r="C66" i="1" s="1"/>
  <c r="C67" i="1" s="1"/>
  <c r="G50" i="1"/>
  <c r="E48" i="1"/>
  <c r="E49" i="1" s="1"/>
  <c r="F48" i="1"/>
  <c r="F49" i="1" s="1"/>
  <c r="G48" i="1"/>
  <c r="G49" i="1" s="1"/>
  <c r="H48" i="1"/>
  <c r="H49" i="1" s="1"/>
  <c r="D48" i="1"/>
  <c r="D49" i="1" s="1"/>
  <c r="D52" i="1" s="1"/>
  <c r="A46" i="1"/>
  <c r="A47" i="1" s="1"/>
  <c r="A48" i="1" s="1"/>
  <c r="A49" i="1" s="1"/>
  <c r="C49" i="1"/>
  <c r="E17" i="1"/>
  <c r="E18" i="1" s="1"/>
  <c r="D17" i="1"/>
  <c r="D18" i="1" s="1"/>
  <c r="C18" i="1"/>
  <c r="E24" i="1"/>
  <c r="E32" i="1" s="1"/>
  <c r="L18" i="1" l="1"/>
  <c r="I81" i="1"/>
  <c r="H91" i="1"/>
  <c r="I91" i="1" s="1"/>
  <c r="G52" i="1"/>
  <c r="H52" i="1"/>
  <c r="H50" i="1"/>
  <c r="I50" i="1" s="1"/>
  <c r="I80" i="1"/>
  <c r="I49" i="1"/>
  <c r="A50" i="1"/>
  <c r="A83" i="1"/>
  <c r="D13" i="2" s="1"/>
  <c r="A78" i="1"/>
  <c r="A79" i="1" s="1"/>
  <c r="A80" i="1" s="1"/>
  <c r="A81" i="1" s="1"/>
  <c r="C21" i="1"/>
  <c r="F52" i="1"/>
  <c r="F18" i="1"/>
  <c r="F23" i="1" s="1"/>
  <c r="E52" i="1"/>
  <c r="H86" i="1"/>
  <c r="H87" i="1" s="1"/>
  <c r="D21" i="1"/>
  <c r="C52" i="1"/>
  <c r="E21" i="1"/>
  <c r="E69" i="1"/>
  <c r="I53" i="1" l="1"/>
  <c r="E13" i="2" s="1"/>
  <c r="D11" i="2"/>
  <c r="F24" i="1"/>
  <c r="F11" i="1" s="1"/>
  <c r="D9" i="2"/>
  <c r="A89" i="1"/>
  <c r="A84" i="1"/>
  <c r="A85" i="1" s="1"/>
  <c r="A86" i="1" s="1"/>
  <c r="A87" i="1" s="1"/>
  <c r="E9" i="2"/>
  <c r="F9" i="2"/>
  <c r="A51" i="1"/>
  <c r="A52" i="1" s="1"/>
  <c r="E11" i="2"/>
  <c r="F11" i="2"/>
  <c r="C11" i="2"/>
  <c r="I83" i="1"/>
  <c r="F13" i="2" s="1"/>
  <c r="F14" i="2" s="1"/>
  <c r="I69" i="1"/>
  <c r="E66" i="1"/>
  <c r="E67" i="1" s="1"/>
  <c r="D30" i="1"/>
  <c r="D29" i="1"/>
  <c r="E29" i="1" s="1"/>
  <c r="F29" i="1" s="1"/>
  <c r="D26" i="1"/>
  <c r="D24" i="1"/>
  <c r="C24" i="1"/>
  <c r="A8" i="1"/>
  <c r="A9" i="1" s="1"/>
  <c r="C7" i="1"/>
  <c r="G55" i="1"/>
  <c r="G39" i="1"/>
  <c r="G37" i="1" s="1"/>
  <c r="H55" i="1"/>
  <c r="F57" i="1"/>
  <c r="E57" i="1"/>
  <c r="E38" i="1"/>
  <c r="D57" i="1"/>
  <c r="F37" i="1"/>
  <c r="H37" i="1"/>
  <c r="D39" i="1"/>
  <c r="D37" i="1" s="1"/>
  <c r="D34" i="1" s="1"/>
  <c r="D35" i="1" s="1"/>
  <c r="C55" i="1"/>
  <c r="C37" i="1"/>
  <c r="I30" i="1" l="1"/>
  <c r="D32" i="1"/>
  <c r="D12" i="2"/>
  <c r="E10" i="2"/>
  <c r="C12" i="2"/>
  <c r="E12" i="2"/>
  <c r="A90" i="1"/>
  <c r="A91" i="1" s="1"/>
  <c r="E14" i="2"/>
  <c r="F6" i="2"/>
  <c r="F8" i="2" s="1"/>
  <c r="K69" i="1"/>
  <c r="K66" i="1" s="1"/>
  <c r="K67" i="1" s="1"/>
  <c r="I66" i="1"/>
  <c r="I67" i="1" s="1"/>
  <c r="C34" i="1"/>
  <c r="C35" i="1" s="1"/>
  <c r="C3" i="1"/>
  <c r="C4" i="1" s="1"/>
  <c r="G29" i="1"/>
  <c r="F10" i="1"/>
  <c r="H34" i="1"/>
  <c r="H35" i="1" s="1"/>
  <c r="F34" i="1"/>
  <c r="F35" i="1" s="1"/>
  <c r="G34" i="1"/>
  <c r="G35" i="1" s="1"/>
  <c r="D7" i="1"/>
  <c r="D3" i="1" s="1"/>
  <c r="D4" i="1" s="1"/>
  <c r="E7" i="1"/>
  <c r="A10" i="1"/>
  <c r="D23" i="2" s="1"/>
  <c r="E39" i="1"/>
  <c r="E37" i="1" s="1"/>
  <c r="E34" i="1" s="1"/>
  <c r="E35" i="1" s="1"/>
  <c r="L7" i="1" l="1"/>
  <c r="D6" i="2" s="1"/>
  <c r="A12" i="1"/>
  <c r="A13" i="1" s="1"/>
  <c r="E23" i="2"/>
  <c r="F23" i="2"/>
  <c r="G23" i="2"/>
  <c r="F7" i="2"/>
  <c r="F17" i="2"/>
  <c r="F18" i="2"/>
  <c r="E15" i="2"/>
  <c r="H29" i="1"/>
  <c r="E3" i="1"/>
  <c r="E4" i="1" s="1"/>
  <c r="F12" i="1"/>
  <c r="F13" i="1"/>
  <c r="I37" i="1"/>
  <c r="A11" i="1"/>
  <c r="D24" i="2" s="1"/>
  <c r="D25" i="2" s="1"/>
  <c r="D27" i="2" s="1"/>
  <c r="E6" i="2" l="1"/>
  <c r="F24" i="2"/>
  <c r="F25" i="2" s="1"/>
  <c r="G24" i="2"/>
  <c r="G25" i="2" s="1"/>
  <c r="G27" i="2" s="1"/>
  <c r="F32" i="2" s="1"/>
  <c r="E24" i="2"/>
  <c r="E25" i="2" s="1"/>
  <c r="K37" i="1"/>
  <c r="K34" i="1" s="1"/>
  <c r="K35" i="1" s="1"/>
  <c r="I34" i="1"/>
  <c r="I35" i="1" s="1"/>
  <c r="F7" i="1"/>
  <c r="E17" i="2" l="1"/>
  <c r="H6" i="2"/>
  <c r="E7" i="2"/>
  <c r="E8" i="2" s="1"/>
  <c r="E18" i="2"/>
  <c r="E19" i="2" s="1"/>
  <c r="F26" i="2"/>
  <c r="F27" i="2"/>
  <c r="F31" i="2"/>
  <c r="E31" i="2"/>
  <c r="E26" i="2"/>
  <c r="E27" i="2"/>
  <c r="F3" i="1"/>
  <c r="F4" i="1" s="1"/>
  <c r="H18" i="1"/>
  <c r="H23" i="1" s="1"/>
  <c r="G18" i="1"/>
  <c r="D29" i="2" l="1"/>
  <c r="D28" i="2"/>
  <c r="I26" i="2"/>
  <c r="E28" i="2"/>
  <c r="E33" i="2" s="1"/>
  <c r="E36" i="2" s="1"/>
  <c r="E29" i="2"/>
  <c r="F33" i="2"/>
  <c r="E32" i="2"/>
  <c r="I18" i="1"/>
  <c r="H24" i="1"/>
  <c r="H11" i="1" s="1"/>
  <c r="H10" i="1"/>
  <c r="G23" i="1"/>
  <c r="I22" i="1" s="1"/>
  <c r="C13" i="2" l="1"/>
  <c r="C9" i="2"/>
  <c r="E34" i="2"/>
  <c r="E35" i="2"/>
  <c r="G10" i="1"/>
  <c r="I10" i="1" s="1"/>
  <c r="G24" i="1"/>
  <c r="G11" i="1" s="1"/>
  <c r="I11" i="1" s="1"/>
  <c r="H12" i="1"/>
  <c r="H13" i="1"/>
  <c r="C24" i="2" l="1"/>
  <c r="C23" i="2"/>
  <c r="C40" i="2"/>
  <c r="C14" i="2"/>
  <c r="H7" i="1"/>
  <c r="H3" i="1" s="1"/>
  <c r="H4" i="1" s="1"/>
  <c r="G13" i="1"/>
  <c r="G12" i="1"/>
  <c r="C15" i="2" l="1"/>
  <c r="C32" i="2"/>
  <c r="C25" i="2"/>
  <c r="G7" i="1"/>
  <c r="G3" i="1" s="1"/>
  <c r="G4" i="1" s="1"/>
  <c r="C26" i="2" l="1"/>
  <c r="C27" i="2"/>
  <c r="C31" i="2"/>
  <c r="C35" i="2" s="1"/>
  <c r="I7" i="1"/>
  <c r="C6" i="2" l="1"/>
  <c r="C7" i="2" s="1"/>
  <c r="I14" i="1"/>
  <c r="C28" i="2"/>
  <c r="C33" i="2" s="1"/>
  <c r="C29" i="2"/>
  <c r="K7" i="1"/>
  <c r="I3" i="1"/>
  <c r="I4" i="1" s="1"/>
  <c r="H26" i="2" l="1"/>
  <c r="C8" i="2"/>
  <c r="C17" i="2"/>
  <c r="C18" i="2"/>
  <c r="C19" i="2" s="1"/>
  <c r="C36" i="2"/>
  <c r="C34" i="2"/>
  <c r="K3" i="1"/>
  <c r="K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Sandrine suzzoni</author>
  </authors>
  <commentList>
    <comment ref="D23" authorId="0" shapeId="0" xr:uid="{BD28AA2E-09FA-4984-A7B3-3AFEB4B18CE2}">
      <text>
        <r>
          <rPr>
            <b/>
            <sz val="9"/>
            <color indexed="81"/>
            <rFont val="Tahoma"/>
            <family val="2"/>
          </rPr>
          <t>Sandrine suzzoni:</t>
        </r>
        <r>
          <rPr>
            <sz val="9"/>
            <color indexed="81"/>
            <rFont val="Tahoma"/>
            <family val="2"/>
          </rPr>
          <t xml:space="preserve">
période du 30 au 31/01</t>
        </r>
      </text>
    </comment>
    <comment ref="D25" authorId="0" shapeId="0" xr:uid="{61728FB1-5000-4F1B-B1FA-469D7571018C}">
      <text>
        <r>
          <rPr>
            <b/>
            <sz val="9"/>
            <color indexed="81"/>
            <rFont val="Tahoma"/>
            <family val="2"/>
          </rPr>
          <t>Sandrine suzzoni:</t>
        </r>
        <r>
          <rPr>
            <sz val="9"/>
            <color indexed="81"/>
            <rFont val="Tahoma"/>
            <family val="2"/>
          </rPr>
          <t xml:space="preserve">
01/02 au 06/02 soit 5 jours
</t>
        </r>
      </text>
    </comment>
  </commentList>
</comments>
</file>

<file path=xl/sharedStrings.xml><?xml version="1.0" encoding="utf-8"?>
<sst xmlns="http://schemas.openxmlformats.org/spreadsheetml/2006/main" count="240" uniqueCount="114">
  <si>
    <t>SUIVI DES DEPENSES ENERGIE COMBUSTIBLE</t>
  </si>
  <si>
    <t>Coût total</t>
  </si>
  <si>
    <t>Janv</t>
  </si>
  <si>
    <t>Mars</t>
  </si>
  <si>
    <t>Juillet</t>
  </si>
  <si>
    <t>Sept</t>
  </si>
  <si>
    <t>Nov</t>
  </si>
  <si>
    <t>Cout unitaire</t>
  </si>
  <si>
    <t>Abonnement</t>
  </si>
  <si>
    <t>TVA</t>
  </si>
  <si>
    <t>Consommation</t>
  </si>
  <si>
    <t>Taxes</t>
  </si>
  <si>
    <t>Consommation acheminement</t>
  </si>
  <si>
    <t>Consommation fourniture</t>
  </si>
  <si>
    <t>Acheminement abonnement</t>
  </si>
  <si>
    <t xml:space="preserve">Acheminement Consommation </t>
  </si>
  <si>
    <t>Frais</t>
  </si>
  <si>
    <t>01/06 au 15/07</t>
  </si>
  <si>
    <t>22/01au 27/03</t>
  </si>
  <si>
    <t>27/11/2024 au 21/01/2025</t>
  </si>
  <si>
    <t>17/09 au 17/11/2025</t>
  </si>
  <si>
    <t>16/07 au 16/09</t>
  </si>
  <si>
    <t>Avril</t>
  </si>
  <si>
    <t>18/11/2025 au 29/01/2026</t>
  </si>
  <si>
    <t>30/01au 06/02</t>
  </si>
  <si>
    <t>07/02 au 07/04</t>
  </si>
  <si>
    <t>juin</t>
  </si>
  <si>
    <t>28/03 au 31/05</t>
  </si>
  <si>
    <t>INDEX</t>
  </si>
  <si>
    <t xml:space="preserve">Nouvel index </t>
  </si>
  <si>
    <t>Estimé</t>
  </si>
  <si>
    <t>Ancien index</t>
  </si>
  <si>
    <t>Consommation m3</t>
  </si>
  <si>
    <t xml:space="preserve">Coeff transfo </t>
  </si>
  <si>
    <t>18/112023 au 24/01/2024</t>
  </si>
  <si>
    <t>24/01 au 06/02</t>
  </si>
  <si>
    <t>07/02 au 24/05</t>
  </si>
  <si>
    <t>25/05 au 22/07</t>
  </si>
  <si>
    <t>23/07 au 16/09</t>
  </si>
  <si>
    <t>26/09 au 26/11</t>
  </si>
  <si>
    <t>Projection</t>
  </si>
  <si>
    <t>Variation 2025 vs 2024</t>
  </si>
  <si>
    <t>Variation 2026 vs 2025</t>
  </si>
  <si>
    <t>TOTAL</t>
  </si>
  <si>
    <t>Quote part réchauffement eau</t>
  </si>
  <si>
    <t>Taux taxes</t>
  </si>
  <si>
    <t>Evol consommation %</t>
  </si>
  <si>
    <t>Date facture :</t>
  </si>
  <si>
    <t>Date facture : (à vérifier)</t>
  </si>
  <si>
    <t>Octobre</t>
  </si>
  <si>
    <t>Effet volume</t>
  </si>
  <si>
    <t>Effet prix</t>
  </si>
  <si>
    <t>Consommation M3</t>
  </si>
  <si>
    <t>Réel</t>
  </si>
  <si>
    <t>le volume de gaz utilisé</t>
  </si>
  <si>
    <t>ce que ce gaz produit réellement en énergie</t>
  </si>
  <si>
    <t>Le gaz n’a pas toujours exactement le même pouvoir calorifique.</t>
  </si>
  <si>
    <t>Le kWh représente l’énergie réellement disponible pour :</t>
  </si>
  <si>
    <t>chauffer,</t>
  </si>
  <si>
    <t>produire de l’eau chaude,</t>
  </si>
  <si>
    <t>Pourquoi la facture est en kWh et pas seulement en m³ ?</t>
  </si>
  <si>
    <t>Parce que :</t>
  </si>
  <si>
    <t>1 m³ de gaz à Lille n’apporte pas exactement la même énergie qu’à Marseille,</t>
  </si>
  <si>
    <t>la composition du gaz varie,</t>
  </si>
  <si>
    <t>température et pression influencent le volume.</t>
  </si>
  <si>
    <t>Le kWh permet donc une facturation plus juste.</t>
  </si>
  <si>
    <t>A</t>
  </si>
  <si>
    <t>B</t>
  </si>
  <si>
    <t>C</t>
  </si>
  <si>
    <t>D= B*C</t>
  </si>
  <si>
    <t>Coût complet /M3</t>
  </si>
  <si>
    <t>Coût complet /kWh</t>
  </si>
  <si>
    <t>Energie KWH</t>
  </si>
  <si>
    <t>E=A/B</t>
  </si>
  <si>
    <t>F=A/D</t>
  </si>
  <si>
    <t>check coeff transfo moyen</t>
  </si>
  <si>
    <t>D/B</t>
  </si>
  <si>
    <t>Total</t>
  </si>
  <si>
    <t>Variation N vs N-1</t>
  </si>
  <si>
    <t>Coût unitaire moyen énergie</t>
  </si>
  <si>
    <t>Variation coût énergie N vs N-1</t>
  </si>
  <si>
    <t>check</t>
  </si>
  <si>
    <t>Relevé 31/01/2026</t>
  </si>
  <si>
    <t xml:space="preserve">Energie KWH </t>
  </si>
  <si>
    <t>Augm tarif</t>
  </si>
  <si>
    <t>Augm 0</t>
  </si>
  <si>
    <t>Variation coût KWH vs N-1</t>
  </si>
  <si>
    <t>Effet volume %</t>
  </si>
  <si>
    <t>Effet prix %</t>
  </si>
  <si>
    <t>% total</t>
  </si>
  <si>
    <t>Réel à fin avril</t>
  </si>
  <si>
    <t>Variation en % N vs N-1</t>
  </si>
  <si>
    <t xml:space="preserve">Réel à fin avril  </t>
  </si>
  <si>
    <t>Cout de l'énergie hors taxes</t>
  </si>
  <si>
    <t>Variation 2024 vs 2023</t>
  </si>
  <si>
    <t>TOTAL FACTURES</t>
  </si>
  <si>
    <t>TOTAL COMPTE COMBUSTIBLE</t>
  </si>
  <si>
    <t xml:space="preserve">Le m³ mesure un volume de gaz (combien de place il prend), </t>
  </si>
  <si>
    <t>Le coefficient de conversion sert à passer de l'un à l'autre.</t>
  </si>
  <si>
    <t>Le coefficient change à chaque relevé</t>
  </si>
  <si>
    <t xml:space="preserve">mesure une énergie (combien ce volume de gaz produit de chaleur ). </t>
  </si>
  <si>
    <t>cuire…</t>
  </si>
  <si>
    <t>régularisation suite au relevé</t>
  </si>
  <si>
    <t>Coefficient est calculé par GRDF c’est-à-dire le gestionnaire du réseau</t>
  </si>
  <si>
    <t>Analyse du poste combustible</t>
  </si>
  <si>
    <t>Relevé le 27/01/2023</t>
  </si>
  <si>
    <t>Mai</t>
  </si>
  <si>
    <t>24/11/2022 au 27/01/2023</t>
  </si>
  <si>
    <t>28/01/2023 au 24/03/2023</t>
  </si>
  <si>
    <t>25/03/2023 au 31/05/2023</t>
  </si>
  <si>
    <t>01/06/2023 au 25/07/2023</t>
  </si>
  <si>
    <t>26/07/2023 au 27/09/2023</t>
  </si>
  <si>
    <t>Relevé le 17/11/2023</t>
  </si>
  <si>
    <t>28/09/2023 au 17/11/2023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</si>
</sst>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€&quot;;\-#,##0\ &quot;€&quot;"/>
    <numFmt numFmtId="7" formatCode="#,##0.00\ &quot;€&quot;;\-#,##0.00\ &quot;€&quot;"/>
    <numFmt numFmtId="164" formatCode="#,##0.00000\ &quot;€&quot;;\-#,##0.00000\ &quot;€&quot;"/>
    <numFmt numFmtId="165" formatCode="0.0%"/>
    <numFmt numFmtId="166" formatCode="#,##0.000"/>
    <numFmt numFmtId="167" formatCode="#,##0.000\ &quot;€&quot;;\-#,##0.000\ &quot;€&quot;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"/>
      <color theme="7" tint="-0.499984740745262"/>
      <name val="Aptos Narrow"/>
      <family val="2"/>
      <scheme val="minor"/>
    </font>
    <font>
      <i/>
      <sz val="11"/>
      <color theme="7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3" fontId="1" fillId="0" borderId="0" xfId="0" applyNumberFormat="1" applyFont="1"/>
    <xf numFmtId="0" fontId="1" fillId="0" borderId="0" xfId="0" applyFont="1"/>
    <xf numFmtId="5" fontId="0" fillId="0" borderId="0" xfId="0" applyNumberFormat="1"/>
    <xf numFmtId="0" fontId="4" fillId="0" borderId="4" xfId="0" applyFont="1" applyBorder="1"/>
    <xf numFmtId="0" fontId="4" fillId="0" borderId="5" xfId="0" applyFont="1" applyBorder="1"/>
    <xf numFmtId="5" fontId="4" fillId="0" borderId="5" xfId="0" applyNumberFormat="1" applyFont="1" applyBorder="1"/>
    <xf numFmtId="5" fontId="4" fillId="0" borderId="6" xfId="0" applyNumberFormat="1" applyFont="1" applyBorder="1"/>
    <xf numFmtId="0" fontId="0" fillId="0" borderId="4" xfId="0" applyBorder="1"/>
    <xf numFmtId="0" fontId="0" fillId="0" borderId="5" xfId="0" applyBorder="1"/>
    <xf numFmtId="7" fontId="0" fillId="0" borderId="5" xfId="0" applyNumberFormat="1" applyBorder="1"/>
    <xf numFmtId="7" fontId="0" fillId="0" borderId="6" xfId="0" applyNumberFormat="1" applyBorder="1"/>
    <xf numFmtId="0" fontId="0" fillId="0" borderId="5" xfId="0" applyBorder="1" applyAlignment="1">
      <alignment horizontal="right"/>
    </xf>
    <xf numFmtId="3" fontId="0" fillId="0" borderId="5" xfId="0" applyNumberFormat="1" applyBorder="1"/>
    <xf numFmtId="3" fontId="0" fillId="2" borderId="5" xfId="0" applyNumberFormat="1" applyFill="1" applyBorder="1"/>
    <xf numFmtId="0" fontId="0" fillId="0" borderId="5" xfId="0" applyBorder="1" applyAlignment="1">
      <alignment vertical="center"/>
    </xf>
    <xf numFmtId="164" fontId="0" fillId="0" borderId="5" xfId="0" applyNumberFormat="1" applyBorder="1"/>
    <xf numFmtId="0" fontId="0" fillId="0" borderId="7" xfId="0" applyBorder="1"/>
    <xf numFmtId="0" fontId="0" fillId="0" borderId="8" xfId="0" applyBorder="1" applyAlignment="1">
      <alignment horizontal="right"/>
    </xf>
    <xf numFmtId="164" fontId="0" fillId="0" borderId="8" xfId="0" applyNumberFormat="1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7" fontId="0" fillId="0" borderId="2" xfId="0" applyNumberFormat="1" applyBorder="1"/>
    <xf numFmtId="7" fontId="0" fillId="0" borderId="3" xfId="0" applyNumberFormat="1" applyBorder="1"/>
    <xf numFmtId="0" fontId="4" fillId="0" borderId="1" xfId="0" applyFont="1" applyBorder="1"/>
    <xf numFmtId="0" fontId="4" fillId="0" borderId="2" xfId="0" applyFont="1" applyBorder="1"/>
    <xf numFmtId="3" fontId="0" fillId="0" borderId="6" xfId="0" applyNumberFormat="1" applyBorder="1"/>
    <xf numFmtId="5" fontId="0" fillId="0" borderId="5" xfId="0" applyNumberFormat="1" applyBorder="1"/>
    <xf numFmtId="5" fontId="0" fillId="0" borderId="6" xfId="0" applyNumberFormat="1" applyBorder="1"/>
    <xf numFmtId="164" fontId="0" fillId="0" borderId="6" xfId="0" applyNumberFormat="1" applyBorder="1"/>
    <xf numFmtId="164" fontId="0" fillId="0" borderId="9" xfId="0" applyNumberFormat="1" applyBorder="1"/>
    <xf numFmtId="4" fontId="0" fillId="0" borderId="5" xfId="0" applyNumberFormat="1" applyBorder="1"/>
    <xf numFmtId="3" fontId="1" fillId="0" borderId="5" xfId="0" applyNumberFormat="1" applyFont="1" applyBorder="1"/>
    <xf numFmtId="0" fontId="0" fillId="0" borderId="2" xfId="0" applyBorder="1" applyAlignment="1">
      <alignment vertical="center" wrapText="1"/>
    </xf>
    <xf numFmtId="3" fontId="7" fillId="0" borderId="5" xfId="0" applyNumberFormat="1" applyFont="1" applyBorder="1"/>
    <xf numFmtId="7" fontId="0" fillId="0" borderId="10" xfId="0" applyNumberFormat="1" applyBorder="1"/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5" fontId="0" fillId="0" borderId="2" xfId="0" applyNumberFormat="1" applyBorder="1"/>
    <xf numFmtId="5" fontId="0" fillId="0" borderId="3" xfId="0" applyNumberFormat="1" applyBorder="1"/>
    <xf numFmtId="4" fontId="0" fillId="2" borderId="5" xfId="0" applyNumberFormat="1" applyFill="1" applyBorder="1"/>
    <xf numFmtId="3" fontId="0" fillId="3" borderId="5" xfId="0" applyNumberFormat="1" applyFill="1" applyBorder="1"/>
    <xf numFmtId="7" fontId="0" fillId="2" borderId="5" xfId="0" applyNumberFormat="1" applyFill="1" applyBorder="1"/>
    <xf numFmtId="16" fontId="0" fillId="0" borderId="2" xfId="0" applyNumberFormat="1" applyBorder="1" applyAlignment="1">
      <alignment vertical="center" wrapText="1"/>
    </xf>
    <xf numFmtId="0" fontId="4" fillId="4" borderId="4" xfId="0" applyFont="1" applyFill="1" applyBorder="1"/>
    <xf numFmtId="0" fontId="4" fillId="4" borderId="5" xfId="0" applyFont="1" applyFill="1" applyBorder="1"/>
    <xf numFmtId="7" fontId="0" fillId="4" borderId="5" xfId="0" applyNumberFormat="1" applyFill="1" applyBorder="1" applyAlignment="1">
      <alignment horizontal="center"/>
    </xf>
    <xf numFmtId="7" fontId="0" fillId="4" borderId="5" xfId="0" applyNumberFormat="1" applyFill="1" applyBorder="1"/>
    <xf numFmtId="7" fontId="0" fillId="4" borderId="6" xfId="0" applyNumberFormat="1" applyFill="1" applyBorder="1" applyAlignment="1">
      <alignment horizontal="center"/>
    </xf>
    <xf numFmtId="5" fontId="4" fillId="5" borderId="5" xfId="0" applyNumberFormat="1" applyFont="1" applyFill="1" applyBorder="1"/>
    <xf numFmtId="0" fontId="0" fillId="5" borderId="0" xfId="0" applyFill="1"/>
    <xf numFmtId="0" fontId="7" fillId="0" borderId="0" xfId="0" applyFont="1"/>
    <xf numFmtId="5" fontId="7" fillId="0" borderId="0" xfId="0" applyNumberFormat="1" applyFont="1"/>
    <xf numFmtId="9" fontId="3" fillId="0" borderId="0" xfId="1" applyFont="1"/>
    <xf numFmtId="0" fontId="9" fillId="0" borderId="10" xfId="0" applyFont="1" applyBorder="1" applyAlignment="1">
      <alignment horizontal="center" vertical="center" wrapText="1"/>
    </xf>
    <xf numFmtId="5" fontId="7" fillId="0" borderId="0" xfId="0" applyNumberFormat="1" applyFont="1" applyAlignment="1">
      <alignment horizontal="center"/>
    </xf>
    <xf numFmtId="5" fontId="1" fillId="0" borderId="0" xfId="0" applyNumberFormat="1" applyFont="1"/>
    <xf numFmtId="3" fontId="0" fillId="0" borderId="0" xfId="0" applyNumberFormat="1"/>
    <xf numFmtId="7" fontId="0" fillId="5" borderId="5" xfId="0" applyNumberFormat="1" applyFill="1" applyBorder="1"/>
    <xf numFmtId="164" fontId="0" fillId="5" borderId="5" xfId="0" applyNumberFormat="1" applyFill="1" applyBorder="1"/>
    <xf numFmtId="9" fontId="0" fillId="0" borderId="2" xfId="1" applyFont="1" applyBorder="1"/>
    <xf numFmtId="3" fontId="1" fillId="5" borderId="5" xfId="0" applyNumberFormat="1" applyFont="1" applyFill="1" applyBorder="1"/>
    <xf numFmtId="0" fontId="1" fillId="0" borderId="5" xfId="0" applyFont="1" applyBorder="1"/>
    <xf numFmtId="3" fontId="1" fillId="0" borderId="6" xfId="0" applyNumberFormat="1" applyFont="1" applyBorder="1"/>
    <xf numFmtId="165" fontId="1" fillId="0" borderId="0" xfId="1" applyNumberFormat="1" applyFont="1"/>
    <xf numFmtId="0" fontId="10" fillId="6" borderId="5" xfId="0" applyFont="1" applyFill="1" applyBorder="1"/>
    <xf numFmtId="9" fontId="10" fillId="6" borderId="5" xfId="1" applyFont="1" applyFill="1" applyBorder="1"/>
    <xf numFmtId="9" fontId="11" fillId="6" borderId="5" xfId="1" applyFont="1" applyFill="1" applyBorder="1"/>
    <xf numFmtId="7" fontId="1" fillId="0" borderId="5" xfId="0" applyNumberFormat="1" applyFont="1" applyBorder="1"/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5" fontId="4" fillId="6" borderId="5" xfId="0" applyNumberFormat="1" applyFont="1" applyFill="1" applyBorder="1"/>
    <xf numFmtId="7" fontId="0" fillId="6" borderId="5" xfId="0" applyNumberFormat="1" applyFill="1" applyBorder="1"/>
    <xf numFmtId="7" fontId="0" fillId="6" borderId="6" xfId="0" applyNumberFormat="1" applyFill="1" applyBorder="1"/>
    <xf numFmtId="0" fontId="0" fillId="6" borderId="0" xfId="0" applyFill="1"/>
    <xf numFmtId="7" fontId="0" fillId="6" borderId="2" xfId="0" applyNumberFormat="1" applyFill="1" applyBorder="1"/>
    <xf numFmtId="7" fontId="0" fillId="6" borderId="3" xfId="0" applyNumberFormat="1" applyFill="1" applyBorder="1"/>
    <xf numFmtId="7" fontId="0" fillId="6" borderId="5" xfId="0" applyNumberFormat="1" applyFill="1" applyBorder="1" applyAlignment="1">
      <alignment horizontal="center"/>
    </xf>
    <xf numFmtId="3" fontId="0" fillId="6" borderId="5" xfId="0" applyNumberFormat="1" applyFill="1" applyBorder="1"/>
    <xf numFmtId="3" fontId="0" fillId="6" borderId="6" xfId="0" applyNumberFormat="1" applyFill="1" applyBorder="1"/>
    <xf numFmtId="3" fontId="1" fillId="6" borderId="5" xfId="0" applyNumberFormat="1" applyFont="1" applyFill="1" applyBorder="1"/>
    <xf numFmtId="3" fontId="1" fillId="6" borderId="6" xfId="0" applyNumberFormat="1" applyFont="1" applyFill="1" applyBorder="1"/>
    <xf numFmtId="4" fontId="0" fillId="6" borderId="5" xfId="0" applyNumberFormat="1" applyFill="1" applyBorder="1"/>
    <xf numFmtId="0" fontId="0" fillId="6" borderId="2" xfId="0" applyFill="1" applyBorder="1" applyAlignment="1">
      <alignment vertical="center" wrapText="1"/>
    </xf>
    <xf numFmtId="16" fontId="0" fillId="6" borderId="2" xfId="0" applyNumberForma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5" fontId="0" fillId="6" borderId="5" xfId="0" applyNumberFormat="1" applyFill="1" applyBorder="1"/>
    <xf numFmtId="5" fontId="0" fillId="6" borderId="6" xfId="0" applyNumberFormat="1" applyFill="1" applyBorder="1"/>
    <xf numFmtId="5" fontId="0" fillId="6" borderId="2" xfId="0" applyNumberFormat="1" applyFill="1" applyBorder="1"/>
    <xf numFmtId="5" fontId="0" fillId="6" borderId="3" xfId="0" applyNumberFormat="1" applyFill="1" applyBorder="1"/>
    <xf numFmtId="164" fontId="0" fillId="6" borderId="5" xfId="0" applyNumberFormat="1" applyFill="1" applyBorder="1"/>
    <xf numFmtId="164" fontId="0" fillId="6" borderId="6" xfId="0" applyNumberFormat="1" applyFill="1" applyBorder="1"/>
    <xf numFmtId="164" fontId="0" fillId="6" borderId="8" xfId="0" applyNumberFormat="1" applyFill="1" applyBorder="1"/>
    <xf numFmtId="164" fontId="0" fillId="6" borderId="9" xfId="0" applyNumberFormat="1" applyFill="1" applyBorder="1"/>
    <xf numFmtId="0" fontId="0" fillId="0" borderId="12" xfId="0" applyBorder="1" applyAlignment="1">
      <alignment horizontal="right" vertical="center"/>
    </xf>
    <xf numFmtId="7" fontId="9" fillId="0" borderId="5" xfId="0" applyNumberFormat="1" applyFont="1" applyBorder="1"/>
    <xf numFmtId="7" fontId="9" fillId="0" borderId="6" xfId="0" applyNumberFormat="1" applyFont="1" applyBorder="1"/>
    <xf numFmtId="4" fontId="0" fillId="0" borderId="0" xfId="0" applyNumberFormat="1"/>
    <xf numFmtId="0" fontId="0" fillId="0" borderId="0" xfId="0" applyAlignment="1">
      <alignment horizontal="left" vertical="center" indent="1"/>
    </xf>
    <xf numFmtId="0" fontId="12" fillId="0" borderId="0" xfId="0" applyFont="1" applyAlignment="1">
      <alignment vertical="center"/>
    </xf>
    <xf numFmtId="166" fontId="1" fillId="0" borderId="0" xfId="0" applyNumberFormat="1" applyFont="1"/>
    <xf numFmtId="1" fontId="0" fillId="0" borderId="0" xfId="0" applyNumberFormat="1"/>
    <xf numFmtId="164" fontId="0" fillId="0" borderId="0" xfId="0" applyNumberFormat="1"/>
    <xf numFmtId="9" fontId="0" fillId="3" borderId="5" xfId="1" applyFont="1" applyFill="1" applyBorder="1" applyAlignment="1">
      <alignment horizontal="center"/>
    </xf>
    <xf numFmtId="165" fontId="0" fillId="3" borderId="5" xfId="1" applyNumberFormat="1" applyFont="1" applyFill="1" applyBorder="1" applyAlignment="1">
      <alignment horizontal="center"/>
    </xf>
    <xf numFmtId="0" fontId="0" fillId="3" borderId="0" xfId="0" applyFill="1"/>
    <xf numFmtId="0" fontId="11" fillId="0" borderId="0" xfId="0" applyFont="1" applyAlignment="1">
      <alignment horizontal="right"/>
    </xf>
    <xf numFmtId="3" fontId="11" fillId="0" borderId="5" xfId="0" applyNumberFormat="1" applyFont="1" applyBorder="1"/>
    <xf numFmtId="7" fontId="7" fillId="4" borderId="5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5" fontId="9" fillId="0" borderId="5" xfId="0" applyNumberFormat="1" applyFont="1" applyBorder="1"/>
    <xf numFmtId="5" fontId="9" fillId="0" borderId="6" xfId="0" applyNumberFormat="1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" fillId="0" borderId="4" xfId="0" applyFont="1" applyBorder="1"/>
    <xf numFmtId="0" fontId="0" fillId="0" borderId="6" xfId="0" applyBorder="1"/>
    <xf numFmtId="0" fontId="11" fillId="0" borderId="7" xfId="0" applyFont="1" applyBorder="1" applyAlignment="1">
      <alignment horizontal="right"/>
    </xf>
    <xf numFmtId="9" fontId="10" fillId="0" borderId="8" xfId="1" applyFont="1" applyBorder="1" applyAlignment="1"/>
    <xf numFmtId="3" fontId="1" fillId="0" borderId="8" xfId="0" applyNumberFormat="1" applyFont="1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6" fontId="0" fillId="0" borderId="5" xfId="0" applyNumberFormat="1" applyBorder="1"/>
    <xf numFmtId="7" fontId="9" fillId="0" borderId="2" xfId="0" applyNumberFormat="1" applyFont="1" applyBorder="1"/>
    <xf numFmtId="0" fontId="0" fillId="0" borderId="3" xfId="0" applyBorder="1"/>
    <xf numFmtId="167" fontId="9" fillId="0" borderId="5" xfId="0" applyNumberFormat="1" applyFont="1" applyBorder="1"/>
    <xf numFmtId="165" fontId="11" fillId="0" borderId="8" xfId="1" applyNumberFormat="1" applyFont="1" applyBorder="1"/>
    <xf numFmtId="5" fontId="8" fillId="0" borderId="5" xfId="0" applyNumberFormat="1" applyFont="1" applyBorder="1"/>
    <xf numFmtId="5" fontId="8" fillId="0" borderId="6" xfId="0" applyNumberFormat="1" applyFont="1" applyBorder="1" applyAlignment="1">
      <alignment horizontal="center"/>
    </xf>
    <xf numFmtId="167" fontId="0" fillId="0" borderId="5" xfId="0" applyNumberFormat="1" applyBorder="1"/>
    <xf numFmtId="167" fontId="0" fillId="0" borderId="6" xfId="0" applyNumberFormat="1" applyBorder="1"/>
    <xf numFmtId="167" fontId="11" fillId="0" borderId="5" xfId="0" applyNumberFormat="1" applyFont="1" applyBorder="1"/>
    <xf numFmtId="5" fontId="1" fillId="0" borderId="9" xfId="0" applyNumberFormat="1" applyFont="1" applyBorder="1"/>
    <xf numFmtId="0" fontId="7" fillId="0" borderId="14" xfId="0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/>
    <xf numFmtId="5" fontId="4" fillId="0" borderId="12" xfId="0" applyNumberFormat="1" applyFont="1" applyBorder="1"/>
    <xf numFmtId="5" fontId="4" fillId="0" borderId="13" xfId="0" applyNumberFormat="1" applyFont="1" applyBorder="1"/>
    <xf numFmtId="5" fontId="11" fillId="0" borderId="5" xfId="0" applyNumberFormat="1" applyFont="1" applyBorder="1"/>
    <xf numFmtId="0" fontId="11" fillId="0" borderId="1" xfId="0" applyFont="1" applyBorder="1" applyAlignment="1">
      <alignment horizontal="right" wrapText="1"/>
    </xf>
    <xf numFmtId="5" fontId="1" fillId="0" borderId="2" xfId="0" applyNumberFormat="1" applyFont="1" applyBorder="1"/>
    <xf numFmtId="5" fontId="1" fillId="0" borderId="3" xfId="0" applyNumberFormat="1" applyFont="1" applyBorder="1"/>
    <xf numFmtId="0" fontId="7" fillId="0" borderId="4" xfId="0" applyFont="1" applyBorder="1"/>
    <xf numFmtId="5" fontId="7" fillId="0" borderId="5" xfId="0" applyNumberFormat="1" applyFont="1" applyBorder="1"/>
    <xf numFmtId="5" fontId="1" fillId="0" borderId="6" xfId="0" applyNumberFormat="1" applyFont="1" applyBorder="1"/>
    <xf numFmtId="0" fontId="8" fillId="0" borderId="4" xfId="0" applyFont="1" applyBorder="1"/>
    <xf numFmtId="9" fontId="8" fillId="0" borderId="5" xfId="1" applyFont="1" applyBorder="1"/>
    <xf numFmtId="0" fontId="8" fillId="0" borderId="7" xfId="0" applyFont="1" applyBorder="1"/>
    <xf numFmtId="9" fontId="8" fillId="0" borderId="8" xfId="1" applyFont="1" applyBorder="1"/>
    <xf numFmtId="0" fontId="13" fillId="0" borderId="4" xfId="0" applyFont="1" applyBorder="1" applyAlignment="1">
      <alignment horizontal="right"/>
    </xf>
    <xf numFmtId="5" fontId="13" fillId="0" borderId="5" xfId="0" applyNumberFormat="1" applyFont="1" applyBorder="1"/>
    <xf numFmtId="9" fontId="0" fillId="0" borderId="0" xfId="1" applyFont="1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9" fontId="10" fillId="0" borderId="0" xfId="1" applyFont="1" applyAlignment="1">
      <alignment horizontal="center"/>
    </xf>
    <xf numFmtId="164" fontId="0" fillId="3" borderId="8" xfId="0" applyNumberFormat="1" applyFill="1" applyBorder="1"/>
    <xf numFmtId="164" fontId="0" fillId="3" borderId="9" xfId="0" applyNumberFormat="1" applyFill="1" applyBorder="1"/>
    <xf numFmtId="0" fontId="1" fillId="0" borderId="17" xfId="0" applyFont="1" applyBorder="1" applyAlignment="1">
      <alignment horizontal="center" vertical="center"/>
    </xf>
    <xf numFmtId="5" fontId="4" fillId="5" borderId="10" xfId="0" applyNumberFormat="1" applyFont="1" applyFill="1" applyBorder="1"/>
    <xf numFmtId="7" fontId="1" fillId="0" borderId="10" xfId="0" applyNumberFormat="1" applyFont="1" applyBorder="1"/>
    <xf numFmtId="0" fontId="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5" fontId="7" fillId="0" borderId="4" xfId="0" applyNumberFormat="1" applyFont="1" applyBorder="1" applyAlignment="1">
      <alignment horizontal="center"/>
    </xf>
    <xf numFmtId="5" fontId="9" fillId="0" borderId="4" xfId="0" applyNumberFormat="1" applyFont="1" applyBorder="1" applyAlignment="1">
      <alignment horizontal="center"/>
    </xf>
    <xf numFmtId="165" fontId="1" fillId="0" borderId="5" xfId="1" applyNumberFormat="1" applyFont="1" applyBorder="1"/>
    <xf numFmtId="5" fontId="7" fillId="0" borderId="6" xfId="0" applyNumberFormat="1" applyFont="1" applyBorder="1"/>
    <xf numFmtId="7" fontId="1" fillId="0" borderId="6" xfId="0" applyNumberFormat="1" applyFont="1" applyBorder="1"/>
    <xf numFmtId="9" fontId="10" fillId="0" borderId="5" xfId="1" applyFont="1" applyBorder="1"/>
    <xf numFmtId="7" fontId="1" fillId="4" borderId="5" xfId="0" applyNumberFormat="1" applyFont="1" applyFill="1" applyBorder="1" applyAlignment="1">
      <alignment horizontal="center"/>
    </xf>
    <xf numFmtId="5" fontId="7" fillId="0" borderId="10" xfId="0" applyNumberFormat="1" applyFont="1" applyBorder="1"/>
    <xf numFmtId="0" fontId="0" fillId="0" borderId="10" xfId="0" applyBorder="1"/>
    <xf numFmtId="0" fontId="0" fillId="0" borderId="18" xfId="0" applyBorder="1"/>
    <xf numFmtId="0" fontId="3" fillId="0" borderId="19" xfId="0" applyFont="1" applyBorder="1" applyAlignment="1">
      <alignment vertical="center"/>
    </xf>
    <xf numFmtId="5" fontId="4" fillId="0" borderId="20" xfId="0" applyNumberFormat="1" applyFont="1" applyBorder="1"/>
    <xf numFmtId="7" fontId="0" fillId="0" borderId="20" xfId="0" applyNumberFormat="1" applyBorder="1"/>
    <xf numFmtId="7" fontId="1" fillId="0" borderId="20" xfId="0" applyNumberFormat="1" applyFont="1" applyBorder="1"/>
    <xf numFmtId="0" fontId="0" fillId="0" borderId="20" xfId="0" applyBorder="1"/>
    <xf numFmtId="3" fontId="1" fillId="0" borderId="20" xfId="0" applyNumberFormat="1" applyFont="1" applyBorder="1"/>
    <xf numFmtId="4" fontId="0" fillId="0" borderId="20" xfId="0" applyNumberFormat="1" applyBorder="1"/>
    <xf numFmtId="0" fontId="0" fillId="0" borderId="21" xfId="0" applyBorder="1"/>
    <xf numFmtId="0" fontId="14" fillId="0" borderId="2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5" fontId="14" fillId="0" borderId="5" xfId="0" applyNumberFormat="1" applyFont="1" applyBorder="1"/>
    <xf numFmtId="3" fontId="14" fillId="0" borderId="5" xfId="0" applyNumberFormat="1" applyFont="1" applyBorder="1"/>
    <xf numFmtId="9" fontId="11" fillId="0" borderId="5" xfId="1" applyFont="1" applyBorder="1"/>
    <xf numFmtId="9" fontId="15" fillId="0" borderId="5" xfId="1" applyFont="1" applyBorder="1"/>
    <xf numFmtId="5" fontId="1" fillId="4" borderId="2" xfId="0" applyNumberFormat="1" applyFont="1" applyFill="1" applyBorder="1"/>
    <xf numFmtId="5" fontId="7" fillId="4" borderId="5" xfId="0" applyNumberFormat="1" applyFont="1" applyFill="1" applyBorder="1"/>
    <xf numFmtId="5" fontId="11" fillId="4" borderId="5" xfId="0" applyNumberFormat="1" applyFont="1" applyFill="1" applyBorder="1"/>
    <xf numFmtId="9" fontId="8" fillId="4" borderId="5" xfId="1" applyFont="1" applyFill="1" applyBorder="1"/>
    <xf numFmtId="9" fontId="8" fillId="4" borderId="8" xfId="1" applyFont="1" applyFill="1" applyBorder="1"/>
    <xf numFmtId="3" fontId="11" fillId="4" borderId="5" xfId="0" applyNumberFormat="1" applyFont="1" applyFill="1" applyBorder="1"/>
    <xf numFmtId="9" fontId="10" fillId="4" borderId="8" xfId="1" applyFont="1" applyFill="1" applyBorder="1" applyAlignment="1"/>
    <xf numFmtId="9" fontId="0" fillId="0" borderId="5" xfId="1" applyFont="1" applyBorder="1"/>
    <xf numFmtId="5" fontId="13" fillId="4" borderId="5" xfId="0" applyNumberFormat="1" applyFont="1" applyFill="1" applyBorder="1"/>
    <xf numFmtId="0" fontId="1" fillId="0" borderId="17" xfId="0" applyFont="1" applyBorder="1" applyAlignment="1">
      <alignment horizontal="center" vertical="center" wrapText="1"/>
    </xf>
    <xf numFmtId="0" fontId="3" fillId="0" borderId="0" xfId="0" applyFont="1"/>
    <xf numFmtId="4" fontId="0" fillId="3" borderId="5" xfId="0" applyNumberFormat="1" applyFill="1" applyBorder="1"/>
    <xf numFmtId="9" fontId="0" fillId="3" borderId="0" xfId="1" applyFont="1" applyFill="1" applyBorder="1" applyAlignment="1">
      <alignment horizontal="center"/>
    </xf>
    <xf numFmtId="0" fontId="0" fillId="5" borderId="5" xfId="0" applyFill="1" applyBorder="1"/>
    <xf numFmtId="164" fontId="0" fillId="0" borderId="18" xfId="0" applyNumberFormat="1" applyBorder="1"/>
    <xf numFmtId="0" fontId="0" fillId="5" borderId="22" xfId="0" applyFill="1" applyBorder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7" fontId="7" fillId="6" borderId="5" xfId="0" applyNumberFormat="1" applyFont="1" applyFill="1" applyBorder="1" applyAlignment="1">
      <alignment horizontal="center" wrapText="1"/>
    </xf>
    <xf numFmtId="164" fontId="0" fillId="3" borderId="5" xfId="0" applyNumberFormat="1" applyFill="1" applyBorder="1"/>
    <xf numFmtId="164" fontId="3" fillId="3" borderId="5" xfId="0" applyNumberFormat="1" applyFont="1" applyFill="1" applyBorder="1"/>
    <xf numFmtId="0" fontId="0" fillId="2" borderId="24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4" fontId="3" fillId="3" borderId="5" xfId="0" applyNumberFormat="1" applyFont="1" applyFill="1" applyBorder="1"/>
    <xf numFmtId="0" fontId="1" fillId="3" borderId="12" xfId="0" applyFont="1" applyFill="1" applyBorder="1" applyAlignment="1">
      <alignment horizontal="center" vertical="center"/>
    </xf>
    <xf numFmtId="3" fontId="7" fillId="3" borderId="5" xfId="0" applyNumberFormat="1" applyFont="1" applyFill="1" applyBorder="1"/>
    <xf numFmtId="164" fontId="0" fillId="3" borderId="22" xfId="0" applyNumberFormat="1" applyFill="1" applyBorder="1"/>
    <xf numFmtId="164" fontId="3" fillId="3" borderId="22" xfId="0" applyNumberFormat="1" applyFont="1" applyFill="1" applyBorder="1"/>
    <xf numFmtId="0" fontId="0" fillId="3" borderId="2" xfId="0" applyFill="1" applyBorder="1" applyAlignment="1">
      <alignment horizontal="center" vertical="center" wrapText="1"/>
    </xf>
    <xf numFmtId="3" fontId="3" fillId="3" borderId="5" xfId="0" applyNumberFormat="1" applyFont="1" applyFill="1" applyBorder="1"/>
    <xf numFmtId="5" fontId="0" fillId="3" borderId="5" xfId="0" applyNumberFormat="1" applyFill="1" applyBorder="1"/>
    <xf numFmtId="4" fontId="3" fillId="6" borderId="5" xfId="0" applyNumberFormat="1" applyFont="1" applyFill="1" applyBorder="1"/>
    <xf numFmtId="7" fontId="3" fillId="6" borderId="5" xfId="0" applyNumberFormat="1" applyFont="1" applyFill="1" applyBorder="1"/>
    <xf numFmtId="7" fontId="1" fillId="6" borderId="5" xfId="0" applyNumberFormat="1" applyFont="1" applyFill="1" applyBorder="1"/>
    <xf numFmtId="7" fontId="1" fillId="6" borderId="6" xfId="0" applyNumberFormat="1" applyFont="1" applyFill="1" applyBorder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154305</xdr:colOff>
      <xdr:row>5</xdr:row>
      <xdr:rowOff>7620</xdr:rowOff>
    </xdr:from>
    <xdr:to>
      <xdr:col>21</xdr:col>
      <xdr:colOff>244323</xdr:colOff>
      <xdr:row>25</xdr:row>
      <xdr:rowOff>169969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3B8A8-3B41-5B0D-BC57-90955ED9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9980" y="922020"/>
          <a:ext cx="5572608" cy="4909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ACC1-3C2D-42AA-8928-99A518CBCCAD}">
  <sheetPr>
    <pageSetUpPr fitToPage="1"/>
  </sheetPr>
  <dimension ref="A2:N40"/>
  <sheetViews>
    <sheetView workbookViewId="0">
      <selection activeCell="B1" sqref="B1:F36"/>
    </sheetView>
  </sheetViews>
  <sheetFormatPr defaultColWidth="8.88671875" defaultRowHeight="14.4" outlineLevelRow="1" outlineLevelCol="1" x14ac:dyDescent="0.3"/>
  <cols>
    <col min="1" max="1" width="12" customWidth="1"/>
    <col min="2" max="2" width="27.33203125" customWidth="1"/>
    <col min="3" max="3" width="14" customWidth="1" outlineLevel="1"/>
    <col min="4" max="4" width="14" customWidth="1"/>
    <col min="5" max="5" width="11.5546875" customWidth="1"/>
    <col min="6" max="6" width="11.44140625" customWidth="1"/>
  </cols>
  <sheetData>
    <row r="2" spans="1:12" x14ac:dyDescent="0.3">
      <c r="B2" s="3" t="s">
        <v>104</v>
      </c>
      <c r="J2" s="65" t="s">
        <v>32</v>
      </c>
      <c r="L2" s="201" t="s">
        <v>54</v>
      </c>
    </row>
    <row r="3" spans="1:12" ht="15" thickBot="1" x14ac:dyDescent="0.35">
      <c r="L3" t="s">
        <v>97</v>
      </c>
    </row>
    <row r="4" spans="1:12" x14ac:dyDescent="0.3">
      <c r="B4" s="22"/>
      <c r="C4" s="112" t="s">
        <v>40</v>
      </c>
      <c r="D4" s="185" t="s">
        <v>92</v>
      </c>
      <c r="E4" s="112" t="s">
        <v>53</v>
      </c>
      <c r="F4" s="112" t="s">
        <v>53</v>
      </c>
      <c r="G4" s="113" t="s">
        <v>53</v>
      </c>
      <c r="J4" s="27" t="s">
        <v>83</v>
      </c>
      <c r="L4" t="s">
        <v>55</v>
      </c>
    </row>
    <row r="5" spans="1:12" ht="15" thickBot="1" x14ac:dyDescent="0.35">
      <c r="B5" s="18"/>
      <c r="C5" s="123">
        <v>2026</v>
      </c>
      <c r="D5" s="186">
        <v>2026</v>
      </c>
      <c r="E5" s="123">
        <v>2025</v>
      </c>
      <c r="F5" s="123">
        <v>2024</v>
      </c>
      <c r="G5" s="124">
        <v>2023</v>
      </c>
      <c r="L5" s="201" t="s">
        <v>100</v>
      </c>
    </row>
    <row r="6" spans="1:12" x14ac:dyDescent="0.3">
      <c r="A6" t="s">
        <v>66</v>
      </c>
      <c r="B6" s="5" t="s">
        <v>1</v>
      </c>
      <c r="C6" s="114">
        <f>SUMIFS('FACTURES GAZ'!$I:$I,'FACTURES GAZ'!$B:$B,'Analyse consommation'!$B6,'FACTURES GAZ'!$A:$A,'Analyse consommation'!C$5)</f>
        <v>19941.355158155176</v>
      </c>
      <c r="D6" s="187">
        <f>SUMIFS('FACTURES GAZ'!$L:$L,'FACTURES GAZ'!$B:$B,'Analyse consommation'!$B6,'FACTURES GAZ'!$A:$A,'Analyse consommation'!D$5)</f>
        <v>10680.32</v>
      </c>
      <c r="E6" s="114">
        <f>SUMIFS('FACTURES GAZ'!$I:$I,'FACTURES GAZ'!$B:$B,'Analyse consommation'!$B6,'FACTURES GAZ'!$A:$A,'Analyse consommation'!E$5)</f>
        <v>15698.919999999998</v>
      </c>
      <c r="F6" s="114">
        <f>SUMIFS('FACTURES GAZ'!$I:$I,'FACTURES GAZ'!$B:$B,'Analyse consommation'!$B6,'FACTURES GAZ'!$A:$A,'Analyse consommation'!F$5)</f>
        <v>12495.820000000002</v>
      </c>
      <c r="G6" s="115">
        <f>SUMIFS('FACTURES GAZ'!$I:$I,'FACTURES GAZ'!$B:$B,'Analyse consommation'!$B6,'FACTURES GAZ'!$A:$A,'Analyse consommation'!G$5)</f>
        <v>10633.07</v>
      </c>
      <c r="H6">
        <f>D6/E6</f>
        <v>0.68032195845319299</v>
      </c>
      <c r="L6" s="3" t="s">
        <v>98</v>
      </c>
    </row>
    <row r="7" spans="1:12" x14ac:dyDescent="0.3">
      <c r="B7" s="116" t="s">
        <v>78</v>
      </c>
      <c r="C7" s="110">
        <f>+C6-E6</f>
        <v>4242.4351581551782</v>
      </c>
      <c r="D7" s="196"/>
      <c r="E7" s="110">
        <f t="shared" ref="E7:F7" si="0">+E6-F6</f>
        <v>3203.0999999999967</v>
      </c>
      <c r="F7" s="110">
        <f t="shared" si="0"/>
        <v>1862.7500000000018</v>
      </c>
      <c r="G7" s="115"/>
      <c r="L7" t="s">
        <v>103</v>
      </c>
    </row>
    <row r="8" spans="1:12" x14ac:dyDescent="0.3">
      <c r="B8" s="116" t="s">
        <v>91</v>
      </c>
      <c r="C8" s="189">
        <f>C7/E6</f>
        <v>0.27023738946087877</v>
      </c>
      <c r="D8" s="196"/>
      <c r="E8" s="189">
        <f>E7/F6</f>
        <v>0.25633371799529736</v>
      </c>
      <c r="F8" s="189">
        <f>F6/G6-1</f>
        <v>0.17518458921083013</v>
      </c>
      <c r="G8" s="115"/>
    </row>
    <row r="9" spans="1:12" x14ac:dyDescent="0.3">
      <c r="A9" t="s">
        <v>67</v>
      </c>
      <c r="B9" s="117" t="s">
        <v>52</v>
      </c>
      <c r="C9" s="34">
        <f>SUMIFS('FACTURES GAZ'!$I:$I,'FACTURES GAZ'!$B:$B,'Analyse consommation'!$B9,'FACTURES GAZ'!$A:$A,'Analyse consommation'!C$5)</f>
        <v>19888.400000000001</v>
      </c>
      <c r="D9" s="188">
        <f>SUMIFS('FACTURES GAZ'!$L:$L,'FACTURES GAZ'!$B:$B,'Analyse consommation'!$B9,'FACTURES GAZ'!$A:$A,'Analyse consommation'!D$5)</f>
        <v>10895</v>
      </c>
      <c r="E9" s="34">
        <f>SUMIFS('FACTURES GAZ'!$I:$I,'FACTURES GAZ'!$B:$B,'Analyse consommation'!$B9,'FACTURES GAZ'!$A:$A,'Analyse consommation'!E$5)</f>
        <v>18641</v>
      </c>
      <c r="F9" s="34">
        <f>SUMIFS('FACTURES GAZ'!$I:$I,'FACTURES GAZ'!$B:$B,'Analyse consommation'!$B9,'FACTURES GAZ'!$A:$A,'Analyse consommation'!F$5)</f>
        <v>16979</v>
      </c>
      <c r="G9" s="118"/>
      <c r="L9" s="3" t="s">
        <v>99</v>
      </c>
    </row>
    <row r="10" spans="1:12" x14ac:dyDescent="0.3">
      <c r="B10" s="116" t="s">
        <v>78</v>
      </c>
      <c r="C10" s="34"/>
      <c r="D10" s="188"/>
      <c r="E10" s="110">
        <f>E9-F9</f>
        <v>1662</v>
      </c>
      <c r="F10" s="34"/>
      <c r="G10" s="118"/>
      <c r="L10" t="s">
        <v>56</v>
      </c>
    </row>
    <row r="11" spans="1:12" x14ac:dyDescent="0.3">
      <c r="A11" t="s">
        <v>68</v>
      </c>
      <c r="B11" s="9" t="s">
        <v>33</v>
      </c>
      <c r="C11" s="125">
        <f>SUMIFS('FACTURES GAZ'!$I:$I,'FACTURES GAZ'!$B:$B,'Analyse consommation'!$B11,'FACTURES GAZ'!$A:$A,'Analyse consommation'!C$5)</f>
        <v>11.186666666666667</v>
      </c>
      <c r="D11" s="125">
        <f>SUMIFS('FACTURES GAZ'!$L:$L,'FACTURES GAZ'!$B:$B,'Analyse consommation'!$B11,'FACTURES GAZ'!$A:$A,'Analyse consommation'!D$5)</f>
        <v>11.193333333333333</v>
      </c>
      <c r="E11" s="125">
        <f>SUMIFS('FACTURES GAZ'!$I:$I,'FACTURES GAZ'!$B:$B,'Analyse consommation'!$B11,'FACTURES GAZ'!$A:$A,'Analyse consommation'!E$5)</f>
        <v>11.201666666666668</v>
      </c>
      <c r="F11" s="125">
        <f>SUMIFS('FACTURES GAZ'!$I:$I,'FACTURES GAZ'!$B:$B,'Analyse consommation'!$B11,'FACTURES GAZ'!$A:$A,'Analyse consommation'!F$5)</f>
        <v>9.4600000000000009</v>
      </c>
      <c r="G11" s="118"/>
    </row>
    <row r="12" spans="1:12" x14ac:dyDescent="0.3">
      <c r="B12" s="116" t="s">
        <v>91</v>
      </c>
      <c r="C12" s="172">
        <f>C11/E11-1</f>
        <v>-1.3390864454694285E-3</v>
      </c>
      <c r="D12" s="190">
        <f>D11/E11-1</f>
        <v>-7.4393691414975649E-4</v>
      </c>
      <c r="E12" s="172">
        <f>E11/F11-1</f>
        <v>0.18410852713178305</v>
      </c>
      <c r="F12" s="125"/>
      <c r="G12" s="118"/>
      <c r="L12" t="s">
        <v>57</v>
      </c>
    </row>
    <row r="13" spans="1:12" x14ac:dyDescent="0.3">
      <c r="A13" t="s">
        <v>69</v>
      </c>
      <c r="B13" s="5" t="s">
        <v>72</v>
      </c>
      <c r="C13" s="34">
        <f>SUMIFS('FACTURES GAZ'!$I:$I,'FACTURES GAZ'!$B:$B,'Analyse consommation'!$B13,'FACTURES GAZ'!$A:$A,'Analyse consommation'!C$5)</f>
        <v>222435.212</v>
      </c>
      <c r="D13" s="188">
        <f>SUMIFS('FACTURES GAZ'!$L:$L,'FACTURES GAZ'!$B:$B,'Analyse consommation'!$B13,'FACTURES GAZ'!$A:$A,'Analyse consommation'!D$5)</f>
        <v>121889</v>
      </c>
      <c r="E13" s="34">
        <f>SUMIFS('FACTURES GAZ'!$I:$I,'FACTURES GAZ'!$B:$B,'Analyse consommation'!$B13,'FACTURES GAZ'!$A:$A,'Analyse consommation'!E$5)</f>
        <v>208810.26833333337</v>
      </c>
      <c r="F13" s="34">
        <f>SUMIFS('FACTURES GAZ'!$I:$I,'FACTURES GAZ'!$B:$B,'Analyse consommation'!$B13,'FACTURES GAZ'!$A:$A,'Analyse consommation'!F$5)</f>
        <v>160621.34000000003</v>
      </c>
      <c r="G13" s="118"/>
      <c r="L13" s="101" t="s">
        <v>58</v>
      </c>
    </row>
    <row r="14" spans="1:12" x14ac:dyDescent="0.3">
      <c r="B14" s="116" t="s">
        <v>78</v>
      </c>
      <c r="C14" s="110">
        <f>+C13-E13</f>
        <v>13624.94366666663</v>
      </c>
      <c r="D14" s="196"/>
      <c r="E14" s="110">
        <f t="shared" ref="E14:F14" si="1">+E13-F13</f>
        <v>48188.928333333344</v>
      </c>
      <c r="F14" s="110">
        <f t="shared" si="1"/>
        <v>160621.34000000003</v>
      </c>
      <c r="G14" s="118"/>
      <c r="L14" s="101" t="s">
        <v>59</v>
      </c>
    </row>
    <row r="15" spans="1:12" ht="15" thickBot="1" x14ac:dyDescent="0.35">
      <c r="B15" s="119" t="s">
        <v>91</v>
      </c>
      <c r="C15" s="120">
        <f>C14/E14</f>
        <v>0.28274012595631753</v>
      </c>
      <c r="D15" s="197"/>
      <c r="E15" s="120">
        <f>E14/F14</f>
        <v>0.30001572850365549</v>
      </c>
      <c r="F15" s="121"/>
      <c r="G15" s="122"/>
      <c r="L15" s="101" t="s">
        <v>59</v>
      </c>
    </row>
    <row r="16" spans="1:12" ht="15" thickBot="1" x14ac:dyDescent="0.35">
      <c r="B16" s="109"/>
      <c r="C16" s="2"/>
      <c r="D16" s="2"/>
      <c r="E16" s="2"/>
      <c r="F16" s="2"/>
      <c r="L16" s="101" t="s">
        <v>101</v>
      </c>
    </row>
    <row r="17" spans="1:14" outlineLevel="1" x14ac:dyDescent="0.3">
      <c r="A17" t="s">
        <v>73</v>
      </c>
      <c r="B17" s="22" t="s">
        <v>70</v>
      </c>
      <c r="C17" s="126">
        <f>C6/C9</f>
        <v>1.0026626153011391</v>
      </c>
      <c r="D17" s="126"/>
      <c r="E17" s="126">
        <f>E6/E9</f>
        <v>0.84217155731988613</v>
      </c>
      <c r="F17" s="126">
        <f>F6/F9</f>
        <v>0.73595735909064142</v>
      </c>
      <c r="G17" s="127"/>
      <c r="L17" s="101"/>
    </row>
    <row r="18" spans="1:14" outlineLevel="1" x14ac:dyDescent="0.3">
      <c r="A18" t="s">
        <v>74</v>
      </c>
      <c r="B18" s="9" t="s">
        <v>71</v>
      </c>
      <c r="C18" s="128">
        <f>+C6/C13</f>
        <v>8.9650172645125883E-2</v>
      </c>
      <c r="D18" s="128"/>
      <c r="E18" s="128">
        <f>+E6/E13</f>
        <v>7.5182701144462377E-2</v>
      </c>
      <c r="F18" s="128">
        <f>+F6/F13</f>
        <v>7.779676100323904E-2</v>
      </c>
      <c r="G18" s="118"/>
      <c r="L18" s="101"/>
    </row>
    <row r="19" spans="1:14" ht="15" outlineLevel="1" thickBot="1" x14ac:dyDescent="0.35">
      <c r="B19" s="119" t="s">
        <v>86</v>
      </c>
      <c r="C19" s="129">
        <f>C18/E18-1</f>
        <v>0.19243085550842998</v>
      </c>
      <c r="D19" s="129"/>
      <c r="E19" s="129">
        <f t="shared" ref="E19" si="2">E18/F18-1</f>
        <v>-3.3601140009772767E-2</v>
      </c>
      <c r="F19" s="21"/>
      <c r="G19" s="122"/>
      <c r="L19" s="101"/>
    </row>
    <row r="20" spans="1:14" ht="15" thickBot="1" x14ac:dyDescent="0.35">
      <c r="C20" s="103"/>
      <c r="D20" s="103"/>
      <c r="L20" s="101"/>
    </row>
    <row r="21" spans="1:14" x14ac:dyDescent="0.3">
      <c r="B21" s="22"/>
      <c r="C21" s="112" t="s">
        <v>40</v>
      </c>
      <c r="D21" s="185" t="str">
        <f>D4</f>
        <v xml:space="preserve">Réel à fin avril  </v>
      </c>
      <c r="E21" s="112" t="s">
        <v>53</v>
      </c>
      <c r="F21" s="112" t="s">
        <v>53</v>
      </c>
      <c r="G21" s="113" t="s">
        <v>53</v>
      </c>
      <c r="N21" s="101"/>
    </row>
    <row r="22" spans="1:14" ht="15" thickBot="1" x14ac:dyDescent="0.35">
      <c r="B22" s="136" t="s">
        <v>93</v>
      </c>
      <c r="C22" s="137">
        <v>2026</v>
      </c>
      <c r="D22" s="186">
        <f>D5</f>
        <v>2026</v>
      </c>
      <c r="E22" s="137">
        <v>2025</v>
      </c>
      <c r="F22" s="137">
        <v>2024</v>
      </c>
      <c r="G22" s="138">
        <v>2023</v>
      </c>
    </row>
    <row r="23" spans="1:14" x14ac:dyDescent="0.3">
      <c r="B23" s="9" t="s">
        <v>15</v>
      </c>
      <c r="C23" s="130">
        <f>SUMIFS('FACTURES GAZ'!$I:$I,'FACTURES GAZ'!$B:$B,'Analyse consommation'!$B23,'FACTURES GAZ'!$A:$A,'Analyse consommation'!C$5)</f>
        <v>2686.9982409599997</v>
      </c>
      <c r="D23" s="130">
        <f>SUMIFS('FACTURES GAZ'!$L:$L,'FACTURES GAZ'!$B:$B,'Analyse consommation'!$B23,'FACTURES GAZ'!$A:$A,'Analyse consommation'!D$5)</f>
        <v>1472.3999999999999</v>
      </c>
      <c r="E23" s="130">
        <f>SUMIFS('FACTURES GAZ'!$I:$I,'FACTURES GAZ'!$B:$B,'Analyse consommation'!$B23,'FACTURES GAZ'!$A:$A,'Analyse consommation'!E$5)</f>
        <v>2452.5</v>
      </c>
      <c r="F23" s="130">
        <f>SUMIFS('FACTURES GAZ'!$I:$I,'FACTURES GAZ'!$B:$B,'Analyse consommation'!$B23,'FACTURES GAZ'!$A:$A,'Analyse consommation'!F$5)</f>
        <v>975.19</v>
      </c>
      <c r="G23" s="131">
        <f>SUMIFS('FACTURES GAZ'!$I:$I,'FACTURES GAZ'!$B:$B,'Analyse consommation'!$B23,'FACTURES GAZ'!$A:$A,'Analyse consommation'!G$5)</f>
        <v>0</v>
      </c>
    </row>
    <row r="24" spans="1:14" ht="15" thickBot="1" x14ac:dyDescent="0.35">
      <c r="B24" s="9" t="s">
        <v>10</v>
      </c>
      <c r="C24" s="130">
        <f>SUMIFS('FACTURES GAZ'!$I:$I,'FACTURES GAZ'!$B:$B,'Analyse consommation'!$B24,'FACTURES GAZ'!$A:$A,'Analyse consommation'!C$5)</f>
        <v>10390.63690304</v>
      </c>
      <c r="D24" s="130">
        <f>SUMIFS('FACTURES GAZ'!$L:$L,'FACTURES GAZ'!$B:$B,'Analyse consommation'!$B24,'FACTURES GAZ'!$A:$A,'Analyse consommation'!D$5)</f>
        <v>5371.37</v>
      </c>
      <c r="E24" s="130">
        <f>SUMIFS('FACTURES GAZ'!$I:$I,'FACTURES GAZ'!$B:$B,'Analyse consommation'!$B24,'FACTURES GAZ'!$A:$A,'Analyse consommation'!E$5)</f>
        <v>6791.79</v>
      </c>
      <c r="F24" s="130">
        <f>SUMIFS('FACTURES GAZ'!$I:$I,'FACTURES GAZ'!$B:$B,'Analyse consommation'!$B24,'FACTURES GAZ'!$A:$A,'Analyse consommation'!F$5)</f>
        <v>5658.99</v>
      </c>
      <c r="G24" s="131">
        <f>SUMIFS('FACTURES GAZ'!$I:$I,'FACTURES GAZ'!$B:$B,'Analyse consommation'!$B24,'FACTURES GAZ'!$A:$A,'Analyse consommation'!G$5)</f>
        <v>0</v>
      </c>
    </row>
    <row r="25" spans="1:14" ht="15" thickBot="1" x14ac:dyDescent="0.35">
      <c r="B25" s="139" t="s">
        <v>77</v>
      </c>
      <c r="C25" s="140">
        <f>SUM(C23:C24)</f>
        <v>13077.635144</v>
      </c>
      <c r="D25" s="140">
        <f>SUM(D23:D24)</f>
        <v>6843.7699999999995</v>
      </c>
      <c r="E25" s="140">
        <f t="shared" ref="E25:G25" si="3">SUM(E23:E24)</f>
        <v>9244.2900000000009</v>
      </c>
      <c r="F25" s="140">
        <f t="shared" si="3"/>
        <v>6634.18</v>
      </c>
      <c r="G25" s="141">
        <f t="shared" si="3"/>
        <v>0</v>
      </c>
      <c r="H25" s="156" t="s">
        <v>89</v>
      </c>
      <c r="I25" s="156"/>
    </row>
    <row r="26" spans="1:14" x14ac:dyDescent="0.3">
      <c r="B26" s="153" t="s">
        <v>78</v>
      </c>
      <c r="C26" s="154">
        <f>C25-E25</f>
        <v>3833.345143999999</v>
      </c>
      <c r="D26" s="199"/>
      <c r="E26" s="154">
        <f t="shared" ref="E26:F26" si="4">E25-F25</f>
        <v>2610.1100000000006</v>
      </c>
      <c r="F26" s="154">
        <f t="shared" si="4"/>
        <v>6634.18</v>
      </c>
      <c r="G26" s="8"/>
      <c r="H26" s="157">
        <f>+C26/C7</f>
        <v>0.90357188762949248</v>
      </c>
      <c r="I26" s="157">
        <f>+E26/E7</f>
        <v>0.81486996971683778</v>
      </c>
      <c r="N26" s="101"/>
    </row>
    <row r="27" spans="1:14" x14ac:dyDescent="0.3">
      <c r="B27" s="9" t="s">
        <v>79</v>
      </c>
      <c r="C27" s="132">
        <f>C25/C13</f>
        <v>5.8793007754545622E-2</v>
      </c>
      <c r="D27" s="132">
        <f>D25/D13</f>
        <v>5.6147560485359627E-2</v>
      </c>
      <c r="E27" s="132">
        <f>E25/E13</f>
        <v>4.427124237608334E-2</v>
      </c>
      <c r="F27" s="132">
        <f>F25/F13</f>
        <v>4.1303229072799416E-2</v>
      </c>
      <c r="G27" s="133" t="e">
        <f>G25/G13</f>
        <v>#DIV/0!</v>
      </c>
      <c r="N27" s="101"/>
    </row>
    <row r="28" spans="1:14" ht="23.4" x14ac:dyDescent="0.3">
      <c r="B28" s="116" t="s">
        <v>78</v>
      </c>
      <c r="C28" s="134">
        <f>C27-E27</f>
        <v>1.4521765378462281E-2</v>
      </c>
      <c r="D28" s="134">
        <f>D27-E27</f>
        <v>1.1876318109276286E-2</v>
      </c>
      <c r="E28" s="134">
        <f t="shared" ref="E28" si="5">E27-F27</f>
        <v>2.9680133032839243E-3</v>
      </c>
      <c r="F28" s="134"/>
      <c r="G28" s="133"/>
      <c r="L28" s="102" t="s">
        <v>60</v>
      </c>
      <c r="N28" s="101"/>
    </row>
    <row r="29" spans="1:14" ht="15" thickBot="1" x14ac:dyDescent="0.35">
      <c r="B29" s="119" t="str">
        <f>B15</f>
        <v>Variation en % N vs N-1</v>
      </c>
      <c r="C29" s="129">
        <f>C27/E27-1</f>
        <v>0.32801802251448398</v>
      </c>
      <c r="D29" s="129">
        <f>D27/E27-1</f>
        <v>0.26826258925347513</v>
      </c>
      <c r="E29" s="129">
        <f t="shared" ref="E29" si="6">E27/F27-1</f>
        <v>7.1859110532317638E-2</v>
      </c>
      <c r="F29" s="129"/>
      <c r="G29" s="135"/>
    </row>
    <row r="30" spans="1:14" ht="15" thickBot="1" x14ac:dyDescent="0.35">
      <c r="B30" s="3"/>
      <c r="C30" s="59"/>
      <c r="D30" s="59"/>
      <c r="E30" s="59"/>
      <c r="F30" s="59"/>
      <c r="G30" s="59"/>
      <c r="L30" t="s">
        <v>61</v>
      </c>
    </row>
    <row r="31" spans="1:14" x14ac:dyDescent="0.3">
      <c r="B31" s="143" t="s">
        <v>80</v>
      </c>
      <c r="C31" s="144">
        <f>C25-E25</f>
        <v>3833.345143999999</v>
      </c>
      <c r="D31" s="191"/>
      <c r="E31" s="144">
        <f t="shared" ref="E31:F31" si="7">E25-F25</f>
        <v>2610.1100000000006</v>
      </c>
      <c r="F31" s="144">
        <f t="shared" si="7"/>
        <v>6634.18</v>
      </c>
      <c r="G31" s="145"/>
      <c r="L31" s="101"/>
    </row>
    <row r="32" spans="1:14" x14ac:dyDescent="0.3">
      <c r="B32" s="146" t="s">
        <v>50</v>
      </c>
      <c r="C32" s="147">
        <f>C14*E27</f>
        <v>603.19318342747999</v>
      </c>
      <c r="D32" s="192"/>
      <c r="E32" s="147">
        <f>E14*F27</f>
        <v>1990.3583457243813</v>
      </c>
      <c r="F32" s="147" t="e">
        <f>F14*G27</f>
        <v>#DIV/0!</v>
      </c>
      <c r="G32" s="148"/>
      <c r="L32" s="101" t="s">
        <v>62</v>
      </c>
      <c r="N32" s="101"/>
    </row>
    <row r="33" spans="1:14" x14ac:dyDescent="0.3">
      <c r="B33" s="146" t="s">
        <v>51</v>
      </c>
      <c r="C33" s="147">
        <f>C13*C28</f>
        <v>3230.151960572518</v>
      </c>
      <c r="D33" s="192"/>
      <c r="E33" s="147">
        <f>E13*E28</f>
        <v>619.75165427561933</v>
      </c>
      <c r="F33" s="147">
        <f>F13*F28</f>
        <v>0</v>
      </c>
      <c r="G33" s="148"/>
      <c r="L33" s="101" t="s">
        <v>63</v>
      </c>
      <c r="N33" s="101"/>
    </row>
    <row r="34" spans="1:14" x14ac:dyDescent="0.3">
      <c r="B34" s="116" t="s">
        <v>81</v>
      </c>
      <c r="C34" s="142">
        <f>C32+C33-C31</f>
        <v>0</v>
      </c>
      <c r="D34" s="193"/>
      <c r="E34" s="142">
        <f>E32+E33-E31</f>
        <v>0</v>
      </c>
      <c r="F34" s="142"/>
      <c r="G34" s="148"/>
      <c r="L34" s="101" t="s">
        <v>64</v>
      </c>
      <c r="N34" s="101"/>
    </row>
    <row r="35" spans="1:14" x14ac:dyDescent="0.3">
      <c r="B35" s="149" t="s">
        <v>87</v>
      </c>
      <c r="C35" s="150">
        <f>+C32/C31</f>
        <v>0.15735425868750841</v>
      </c>
      <c r="D35" s="194"/>
      <c r="E35" s="150">
        <f>+E32/E31</f>
        <v>0.76255726606326202</v>
      </c>
      <c r="F35" s="150"/>
      <c r="G35" s="118"/>
      <c r="L35" t="s">
        <v>65</v>
      </c>
      <c r="N35" s="101"/>
    </row>
    <row r="36" spans="1:14" ht="15" thickBot="1" x14ac:dyDescent="0.35">
      <c r="B36" s="151" t="s">
        <v>88</v>
      </c>
      <c r="C36" s="152">
        <f>+C33/C31</f>
        <v>0.84264574131249137</v>
      </c>
      <c r="D36" s="195"/>
      <c r="E36" s="152">
        <f>+E33/E31</f>
        <v>0.23744273393673798</v>
      </c>
      <c r="F36" s="152"/>
      <c r="G36" s="122"/>
    </row>
    <row r="37" spans="1:14" x14ac:dyDescent="0.3">
      <c r="N37" s="101"/>
    </row>
    <row r="38" spans="1:14" x14ac:dyDescent="0.3">
      <c r="N38" s="101"/>
    </row>
    <row r="39" spans="1:14" x14ac:dyDescent="0.3">
      <c r="N39" s="101"/>
    </row>
    <row r="40" spans="1:14" x14ac:dyDescent="0.3">
      <c r="A40" t="s">
        <v>76</v>
      </c>
      <c r="B40" t="s">
        <v>75</v>
      </c>
      <c r="C40">
        <f>C13/C9</f>
        <v>11.184168258884576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D0A8-3E8B-4181-BD1A-16E96AE694B6}">
  <sheetPr>
    <pageSetUpPr fitToPage="1"/>
  </sheetPr>
  <dimension ref="A1:M120"/>
  <sheetViews>
    <sheetView tabSelected="1" topLeftCell="A81" workbookViewId="0">
      <selection activeCell="G117" sqref="G117:H117"/>
    </sheetView>
  </sheetViews>
  <sheetFormatPr defaultColWidth="8.88671875" defaultRowHeight="14.4" outlineLevelRow="1" x14ac:dyDescent="0.3"/>
  <cols>
    <col min="1" max="1" width="6.21875" customWidth="1"/>
    <col min="2" max="2" width="31.77734375" customWidth="1"/>
    <col min="3" max="3" width="14" customWidth="1"/>
    <col min="4" max="5" width="13" customWidth="1"/>
    <col min="6" max="6" width="12.5546875" customWidth="1"/>
    <col min="7" max="7" width="13.6640625" customWidth="1"/>
    <col min="8" max="8" width="13.5546875" customWidth="1"/>
    <col min="9" max="9" width="12.6640625" customWidth="1"/>
    <col min="10" max="10" width="14.21875" customWidth="1"/>
    <col min="11" max="11" width="15.44140625" customWidth="1"/>
    <col min="12" max="12" width="13.33203125" customWidth="1"/>
  </cols>
  <sheetData>
    <row r="1" spans="1:12" x14ac:dyDescent="0.3">
      <c r="A1" s="3" t="s">
        <v>0</v>
      </c>
      <c r="B1" s="3"/>
      <c r="C1" s="3"/>
    </row>
    <row r="2" spans="1:12" x14ac:dyDescent="0.3">
      <c r="A2" s="3"/>
      <c r="B2" s="3"/>
      <c r="C2" s="3"/>
    </row>
    <row r="3" spans="1:12" x14ac:dyDescent="0.3">
      <c r="A3" s="3"/>
      <c r="B3" s="54" t="s">
        <v>42</v>
      </c>
      <c r="C3" s="55">
        <f t="shared" ref="C3:I3" si="0">+C7-C37</f>
        <v>416.66999999999962</v>
      </c>
      <c r="D3" s="55">
        <f t="shared" si="0"/>
        <v>4872.74</v>
      </c>
      <c r="E3" s="55">
        <f t="shared" si="0"/>
        <v>-876.80000000000018</v>
      </c>
      <c r="F3" s="55">
        <f t="shared" si="0"/>
        <v>523.23255297046626</v>
      </c>
      <c r="G3" s="55">
        <f t="shared" si="0"/>
        <v>-1016.6574046600899</v>
      </c>
      <c r="H3" s="55">
        <f t="shared" si="0"/>
        <v>323.25000984480266</v>
      </c>
      <c r="I3" s="55">
        <f t="shared" si="0"/>
        <v>4242.4351581551782</v>
      </c>
      <c r="K3" s="55">
        <f>+K7-K37</f>
        <v>4242.4351581551782</v>
      </c>
    </row>
    <row r="4" spans="1:12" x14ac:dyDescent="0.3">
      <c r="A4" s="3"/>
      <c r="C4" s="56">
        <f t="shared" ref="C4:I4" si="1">+C3/C37</f>
        <v>0.33413257205177105</v>
      </c>
      <c r="D4" s="56">
        <f t="shared" si="1"/>
        <v>2.8880972984506692</v>
      </c>
      <c r="E4" s="56">
        <f t="shared" si="1"/>
        <v>-0.26302605961884024</v>
      </c>
      <c r="F4" s="56">
        <f t="shared" si="1"/>
        <v>0.20344519257287191</v>
      </c>
      <c r="G4" s="56">
        <f t="shared" si="1"/>
        <v>-0.19906238893883574</v>
      </c>
      <c r="H4" s="56">
        <f t="shared" si="1"/>
        <v>0.18449079392096585</v>
      </c>
      <c r="I4" s="56">
        <f t="shared" si="1"/>
        <v>0.27023738946087877</v>
      </c>
      <c r="K4" s="56">
        <f>+K3/K37</f>
        <v>0.31972723915399132</v>
      </c>
    </row>
    <row r="5" spans="1:12" ht="15" thickBot="1" x14ac:dyDescent="0.35">
      <c r="F5" s="53" t="s">
        <v>40</v>
      </c>
      <c r="G5" s="53" t="s">
        <v>40</v>
      </c>
      <c r="H5" s="53" t="s">
        <v>40</v>
      </c>
      <c r="I5" s="53" t="s">
        <v>40</v>
      </c>
      <c r="J5" s="53" t="s">
        <v>40</v>
      </c>
      <c r="K5" s="53" t="s">
        <v>40</v>
      </c>
    </row>
    <row r="6" spans="1:12" ht="43.8" thickBot="1" x14ac:dyDescent="0.35">
      <c r="A6" s="38">
        <v>2026</v>
      </c>
      <c r="B6" s="97" t="s">
        <v>47</v>
      </c>
      <c r="C6" s="39" t="s">
        <v>2</v>
      </c>
      <c r="D6" s="215" t="s">
        <v>3</v>
      </c>
      <c r="E6" s="39" t="s">
        <v>22</v>
      </c>
      <c r="F6" s="39" t="s">
        <v>4</v>
      </c>
      <c r="G6" s="39" t="s">
        <v>5</v>
      </c>
      <c r="H6" s="162" t="s">
        <v>6</v>
      </c>
      <c r="I6" s="165" t="s">
        <v>95</v>
      </c>
      <c r="J6" s="166" t="s">
        <v>44</v>
      </c>
      <c r="K6" s="200" t="s">
        <v>96</v>
      </c>
      <c r="L6" s="177" t="s">
        <v>90</v>
      </c>
    </row>
    <row r="7" spans="1:12" outlineLevel="1" x14ac:dyDescent="0.3">
      <c r="A7" s="5">
        <v>2026</v>
      </c>
      <c r="B7" s="6" t="s">
        <v>1</v>
      </c>
      <c r="C7" s="7">
        <f>SUM(C8:C13)</f>
        <v>1663.6899999999998</v>
      </c>
      <c r="D7" s="7">
        <f>SUM(D8:D13)</f>
        <v>6559.92</v>
      </c>
      <c r="E7" s="7">
        <f>SUM(E8:E13)</f>
        <v>2456.71</v>
      </c>
      <c r="F7" s="52">
        <f>SUM(F8:F13)</f>
        <v>3095.0925529704659</v>
      </c>
      <c r="G7" s="52">
        <f t="shared" ref="G7:H7" si="2">SUM(G8:G13)</f>
        <v>4090.5725953399096</v>
      </c>
      <c r="H7" s="163">
        <f t="shared" si="2"/>
        <v>2075.3700098448026</v>
      </c>
      <c r="I7" s="167">
        <f>SUM(C7:H7)</f>
        <v>19941.355158155176</v>
      </c>
      <c r="J7" s="34">
        <f>J37</f>
        <v>-2430</v>
      </c>
      <c r="K7" s="174">
        <f>I7+J7</f>
        <v>17511.355158155176</v>
      </c>
      <c r="L7" s="178">
        <f>SUM(C7:E7)</f>
        <v>10680.32</v>
      </c>
    </row>
    <row r="8" spans="1:12" outlineLevel="1" x14ac:dyDescent="0.3">
      <c r="A8" s="9">
        <f>A7</f>
        <v>2026</v>
      </c>
      <c r="B8" s="10" t="s">
        <v>8</v>
      </c>
      <c r="C8" s="11">
        <v>1.85</v>
      </c>
      <c r="D8" s="11">
        <v>0.71</v>
      </c>
      <c r="E8" s="11">
        <v>1.39</v>
      </c>
      <c r="F8" s="11">
        <f>C8</f>
        <v>1.85</v>
      </c>
      <c r="G8" s="11">
        <f t="shared" ref="G8:H8" si="3">D8</f>
        <v>0.71</v>
      </c>
      <c r="H8" s="37">
        <f t="shared" si="3"/>
        <v>1.39</v>
      </c>
      <c r="I8" s="9"/>
      <c r="J8" s="10"/>
      <c r="K8" s="175"/>
      <c r="L8" s="179">
        <f t="shared" ref="L8:L13" si="4">SUM(C8:E8)</f>
        <v>3.95</v>
      </c>
    </row>
    <row r="9" spans="1:12" outlineLevel="1" x14ac:dyDescent="0.3">
      <c r="A9" s="9">
        <f>+A8</f>
        <v>2026</v>
      </c>
      <c r="B9" s="10" t="s">
        <v>14</v>
      </c>
      <c r="C9" s="11">
        <v>31.02</v>
      </c>
      <c r="D9" s="11">
        <v>15.51</v>
      </c>
      <c r="E9" s="11">
        <v>31.02</v>
      </c>
      <c r="F9" s="11">
        <f>E9</f>
        <v>31.02</v>
      </c>
      <c r="G9" s="11">
        <f t="shared" ref="G9:H9" si="5">F9</f>
        <v>31.02</v>
      </c>
      <c r="H9" s="37">
        <f t="shared" si="5"/>
        <v>31.02</v>
      </c>
      <c r="I9" s="9"/>
      <c r="J9" s="10"/>
      <c r="K9" s="175"/>
      <c r="L9" s="179">
        <f t="shared" si="4"/>
        <v>77.55</v>
      </c>
    </row>
    <row r="10" spans="1:12" outlineLevel="1" x14ac:dyDescent="0.3">
      <c r="A10" s="9">
        <f>A8</f>
        <v>2026</v>
      </c>
      <c r="B10" s="65" t="s">
        <v>15</v>
      </c>
      <c r="C10" s="71">
        <v>271.08</v>
      </c>
      <c r="D10" s="71">
        <v>891.77</v>
      </c>
      <c r="E10" s="71">
        <v>309.55</v>
      </c>
      <c r="F10" s="71">
        <f t="shared" ref="F10:H11" si="6">F23*F29</f>
        <v>405.83847200000002</v>
      </c>
      <c r="G10" s="71">
        <f t="shared" si="6"/>
        <v>538.65096896</v>
      </c>
      <c r="H10" s="164">
        <f t="shared" si="6"/>
        <v>270.10880000000003</v>
      </c>
      <c r="I10" s="168">
        <f>SUM(C10:H10)</f>
        <v>2686.9982409599997</v>
      </c>
      <c r="J10" s="169"/>
      <c r="K10" s="175"/>
      <c r="L10" s="180">
        <f t="shared" si="4"/>
        <v>1472.3999999999999</v>
      </c>
    </row>
    <row r="11" spans="1:12" outlineLevel="1" x14ac:dyDescent="0.3">
      <c r="A11" s="9">
        <f>A10</f>
        <v>2026</v>
      </c>
      <c r="B11" s="65" t="s">
        <v>10</v>
      </c>
      <c r="C11" s="71">
        <v>728.85</v>
      </c>
      <c r="D11" s="71">
        <v>3363.32</v>
      </c>
      <c r="E11" s="71">
        <v>1279.2</v>
      </c>
      <c r="F11" s="71">
        <f t="shared" si="6"/>
        <v>1677.1073280000001</v>
      </c>
      <c r="G11" s="71">
        <f t="shared" si="6"/>
        <v>2225.94837504</v>
      </c>
      <c r="H11" s="164">
        <f t="shared" si="6"/>
        <v>1116.2112</v>
      </c>
      <c r="I11" s="168">
        <f>SUM(C11:H11)</f>
        <v>10390.63690304</v>
      </c>
      <c r="J11" s="169"/>
      <c r="K11" s="175"/>
      <c r="L11" s="180">
        <f t="shared" si="4"/>
        <v>5371.37</v>
      </c>
    </row>
    <row r="12" spans="1:12" outlineLevel="1" x14ac:dyDescent="0.3">
      <c r="A12" s="9">
        <f>A10</f>
        <v>2026</v>
      </c>
      <c r="B12" s="10" t="s">
        <v>11</v>
      </c>
      <c r="C12" s="11">
        <v>353.61</v>
      </c>
      <c r="D12" s="11">
        <v>1195.29</v>
      </c>
      <c r="E12" s="11">
        <v>426.1</v>
      </c>
      <c r="F12" s="11">
        <f>SUM(F8:F11)*$E$14</f>
        <v>556.11359297046567</v>
      </c>
      <c r="G12" s="11">
        <f t="shared" ref="G12:H12" si="7">SUM(G8:G11)*$E$14</f>
        <v>734.97738253990963</v>
      </c>
      <c r="H12" s="37">
        <f t="shared" si="7"/>
        <v>372.8940098448025</v>
      </c>
      <c r="I12" s="9"/>
      <c r="J12" s="10"/>
      <c r="K12" s="175"/>
      <c r="L12" s="179">
        <f t="shared" si="4"/>
        <v>1975</v>
      </c>
    </row>
    <row r="13" spans="1:12" ht="15" outlineLevel="1" thickBot="1" x14ac:dyDescent="0.35">
      <c r="A13" s="9">
        <f>A12</f>
        <v>2026</v>
      </c>
      <c r="B13" s="10" t="s">
        <v>9</v>
      </c>
      <c r="C13" s="11">
        <v>277.27999999999997</v>
      </c>
      <c r="D13" s="11">
        <v>1093.32</v>
      </c>
      <c r="E13" s="11">
        <v>409.45</v>
      </c>
      <c r="F13" s="11">
        <f>SUM(F8:F11)*20%</f>
        <v>423.16316000000006</v>
      </c>
      <c r="G13" s="11">
        <f t="shared" ref="G13:H13" si="8">SUM(G8:G11)*20%</f>
        <v>559.26586880000002</v>
      </c>
      <c r="H13" s="37">
        <f t="shared" si="8"/>
        <v>283.74600000000004</v>
      </c>
      <c r="I13" s="18"/>
      <c r="J13" s="21"/>
      <c r="K13" s="176"/>
      <c r="L13" s="179">
        <f t="shared" si="4"/>
        <v>1780.05</v>
      </c>
    </row>
    <row r="14" spans="1:12" x14ac:dyDescent="0.3">
      <c r="A14" s="22"/>
      <c r="B14" s="23" t="s">
        <v>45</v>
      </c>
      <c r="C14" s="24"/>
      <c r="D14" s="24"/>
      <c r="E14" s="63">
        <f>E12/(SUM(E8:E11))</f>
        <v>0.26283648745342841</v>
      </c>
      <c r="F14" s="24"/>
      <c r="G14" s="24"/>
      <c r="H14" s="24"/>
      <c r="I14" s="155">
        <f>(I11+I10)/I7</f>
        <v>0.65580473544957629</v>
      </c>
      <c r="L14" s="181"/>
    </row>
    <row r="15" spans="1:12" ht="28.8" x14ac:dyDescent="0.3">
      <c r="A15" s="47">
        <v>2026</v>
      </c>
      <c r="B15" s="48" t="s">
        <v>28</v>
      </c>
      <c r="C15" s="49" t="s">
        <v>30</v>
      </c>
      <c r="D15" s="111" t="s">
        <v>82</v>
      </c>
      <c r="E15" s="50" t="s">
        <v>30</v>
      </c>
      <c r="F15" s="50"/>
      <c r="G15" s="50"/>
      <c r="H15" s="50"/>
      <c r="L15" s="181"/>
    </row>
    <row r="16" spans="1:12" x14ac:dyDescent="0.3">
      <c r="A16" s="9">
        <f>A15</f>
        <v>2026</v>
      </c>
      <c r="B16" s="10" t="s">
        <v>29</v>
      </c>
      <c r="C16" s="14">
        <v>38923</v>
      </c>
      <c r="D16" s="34">
        <v>45526</v>
      </c>
      <c r="E16" s="14">
        <v>47818</v>
      </c>
      <c r="F16" s="11"/>
      <c r="G16" s="11"/>
      <c r="H16" s="11"/>
      <c r="L16" s="179"/>
    </row>
    <row r="17" spans="1:12" x14ac:dyDescent="0.3">
      <c r="A17" s="9">
        <f t="shared" ref="A17:A21" si="9">A16</f>
        <v>2026</v>
      </c>
      <c r="B17" s="10" t="s">
        <v>31</v>
      </c>
      <c r="C17" s="14">
        <v>36923</v>
      </c>
      <c r="D17" s="14">
        <f>C16</f>
        <v>38923</v>
      </c>
      <c r="E17" s="34">
        <f>D16</f>
        <v>45526</v>
      </c>
      <c r="F17" s="11"/>
      <c r="G17" s="11"/>
      <c r="H17" s="11"/>
      <c r="L17" s="179"/>
    </row>
    <row r="18" spans="1:12" x14ac:dyDescent="0.3">
      <c r="A18" s="9">
        <f t="shared" si="9"/>
        <v>2026</v>
      </c>
      <c r="B18" s="65" t="s">
        <v>32</v>
      </c>
      <c r="C18" s="34">
        <f>C16-C17</f>
        <v>2000</v>
      </c>
      <c r="D18" s="36">
        <f>D16-D17</f>
        <v>6603</v>
      </c>
      <c r="E18" s="34">
        <f>E16-E17</f>
        <v>2292</v>
      </c>
      <c r="F18" s="64">
        <f>+F49*(1+F21)</f>
        <v>3005</v>
      </c>
      <c r="G18" s="64">
        <f>+G49*(1+G21)</f>
        <v>3988.4</v>
      </c>
      <c r="H18" s="64">
        <f>+H49*(1+H21)</f>
        <v>2000</v>
      </c>
      <c r="I18" s="34">
        <f>SUM(C18:H18)</f>
        <v>19888.400000000001</v>
      </c>
      <c r="J18" s="67"/>
      <c r="K18" s="60"/>
      <c r="L18" s="182">
        <f t="shared" ref="L18" si="10">SUM(C18:E18)</f>
        <v>10895</v>
      </c>
    </row>
    <row r="19" spans="1:12" x14ac:dyDescent="0.3">
      <c r="A19" s="9">
        <f t="shared" si="9"/>
        <v>2026</v>
      </c>
      <c r="B19" s="10" t="s">
        <v>33</v>
      </c>
      <c r="C19" s="33">
        <v>11.22</v>
      </c>
      <c r="D19" s="202">
        <v>11.18</v>
      </c>
      <c r="E19" s="202">
        <v>11.18</v>
      </c>
      <c r="F19" s="61">
        <f>E19</f>
        <v>11.18</v>
      </c>
      <c r="G19" s="61">
        <f>F19</f>
        <v>11.18</v>
      </c>
      <c r="H19" s="61">
        <f>G19</f>
        <v>11.18</v>
      </c>
      <c r="I19" s="100">
        <f>AVERAGE(C19:H19)</f>
        <v>11.186666666666667</v>
      </c>
      <c r="L19" s="183">
        <f>AVERAGE(C19:E19)</f>
        <v>11.193333333333333</v>
      </c>
    </row>
    <row r="20" spans="1:12" x14ac:dyDescent="0.3">
      <c r="A20" s="9">
        <f t="shared" si="9"/>
        <v>2026</v>
      </c>
      <c r="B20" s="10"/>
      <c r="C20" s="33"/>
      <c r="D20" s="33"/>
      <c r="E20" s="198"/>
      <c r="F20" s="61"/>
      <c r="G20" s="61"/>
      <c r="H20" s="61"/>
      <c r="L20" s="179"/>
    </row>
    <row r="21" spans="1:12" ht="15" thickBot="1" x14ac:dyDescent="0.35">
      <c r="A21" s="9">
        <f t="shared" si="9"/>
        <v>2026</v>
      </c>
      <c r="B21" s="68" t="s">
        <v>46</v>
      </c>
      <c r="C21" s="69">
        <f>+C18/C49-1</f>
        <v>0.33333333333333326</v>
      </c>
      <c r="D21" s="70">
        <f>+D18/D49-1</f>
        <v>2.3014999999999999</v>
      </c>
      <c r="E21" s="69">
        <f>+E18/E49-1</f>
        <v>-0.42700000000000005</v>
      </c>
      <c r="F21" s="69">
        <v>0</v>
      </c>
      <c r="G21" s="69">
        <v>-0.35</v>
      </c>
      <c r="H21" s="69">
        <v>0</v>
      </c>
      <c r="L21" s="179"/>
    </row>
    <row r="22" spans="1:12" ht="28.8" x14ac:dyDescent="0.3">
      <c r="A22" s="26">
        <v>2026</v>
      </c>
      <c r="B22" s="27" t="s">
        <v>72</v>
      </c>
      <c r="C22" s="208" t="s">
        <v>23</v>
      </c>
      <c r="D22" s="219" t="s">
        <v>24</v>
      </c>
      <c r="E22" s="208" t="s">
        <v>25</v>
      </c>
      <c r="F22" s="23"/>
      <c r="G22" s="23"/>
      <c r="H22" s="23"/>
      <c r="I22" s="34">
        <f>SUM(C23:H23)+D25</f>
        <v>222435.212</v>
      </c>
      <c r="J22" s="67"/>
      <c r="K22" s="60"/>
      <c r="L22" s="182">
        <f>SUM(C23:E23)+D25</f>
        <v>121889</v>
      </c>
    </row>
    <row r="23" spans="1:12" x14ac:dyDescent="0.3">
      <c r="A23" s="9">
        <f>A22</f>
        <v>2026</v>
      </c>
      <c r="B23" s="13" t="s">
        <v>12</v>
      </c>
      <c r="C23" s="14">
        <v>22440</v>
      </c>
      <c r="D23" s="44">
        <v>18458</v>
      </c>
      <c r="E23" s="14">
        <v>25625</v>
      </c>
      <c r="F23" s="14">
        <f>F18*F19</f>
        <v>33595.9</v>
      </c>
      <c r="G23" s="14">
        <f t="shared" ref="G23:H23" si="11">G18*G19</f>
        <v>44590.311999999998</v>
      </c>
      <c r="H23" s="14">
        <f t="shared" si="11"/>
        <v>22360</v>
      </c>
      <c r="L23" s="181"/>
    </row>
    <row r="24" spans="1:12" x14ac:dyDescent="0.3">
      <c r="A24" s="9">
        <f t="shared" ref="A24:A26" si="12">A23</f>
        <v>2026</v>
      </c>
      <c r="B24" s="13" t="s">
        <v>13</v>
      </c>
      <c r="C24" s="14">
        <f>C23</f>
        <v>22440</v>
      </c>
      <c r="D24" s="44">
        <f>D23</f>
        <v>18458</v>
      </c>
      <c r="E24" s="14">
        <f>+E23</f>
        <v>25625</v>
      </c>
      <c r="F24" s="14">
        <f>F23</f>
        <v>33595.9</v>
      </c>
      <c r="G24" s="14">
        <f t="shared" ref="G24:H24" si="13">G23</f>
        <v>44590.311999999998</v>
      </c>
      <c r="H24" s="14">
        <f t="shared" si="13"/>
        <v>22360</v>
      </c>
      <c r="L24" s="181"/>
    </row>
    <row r="25" spans="1:12" x14ac:dyDescent="0.3">
      <c r="A25" s="9">
        <f t="shared" si="12"/>
        <v>2026</v>
      </c>
      <c r="B25" s="13" t="s">
        <v>12</v>
      </c>
      <c r="C25" s="14"/>
      <c r="D25" s="220">
        <v>55366</v>
      </c>
      <c r="F25" s="14"/>
      <c r="G25" s="14"/>
      <c r="H25" s="14"/>
      <c r="L25" s="181"/>
    </row>
    <row r="26" spans="1:12" x14ac:dyDescent="0.3">
      <c r="A26" s="9">
        <f t="shared" si="12"/>
        <v>2026</v>
      </c>
      <c r="B26" s="13" t="s">
        <v>13</v>
      </c>
      <c r="C26" s="14"/>
      <c r="D26" s="44">
        <f>D25</f>
        <v>55366</v>
      </c>
      <c r="F26" s="14"/>
      <c r="G26" s="14"/>
      <c r="H26" s="14"/>
      <c r="L26" s="181"/>
    </row>
    <row r="27" spans="1:12" ht="43.8" thickBot="1" x14ac:dyDescent="0.35">
      <c r="A27" s="9"/>
      <c r="B27" s="16"/>
      <c r="C27" s="16"/>
      <c r="D27" s="207" t="s">
        <v>102</v>
      </c>
      <c r="E27" s="16"/>
      <c r="F27" s="14"/>
      <c r="G27" s="14"/>
      <c r="H27" s="16"/>
      <c r="L27" s="184"/>
    </row>
    <row r="28" spans="1:12" x14ac:dyDescent="0.3">
      <c r="A28" s="26">
        <v>2026</v>
      </c>
      <c r="B28" s="27" t="s">
        <v>7</v>
      </c>
      <c r="C28" s="23"/>
      <c r="D28" s="23"/>
      <c r="E28" s="23"/>
      <c r="F28" s="23"/>
      <c r="G28" s="23"/>
      <c r="H28" s="23"/>
      <c r="I28" s="108" t="s">
        <v>85</v>
      </c>
    </row>
    <row r="29" spans="1:12" x14ac:dyDescent="0.3">
      <c r="A29" s="9">
        <f>A28</f>
        <v>2026</v>
      </c>
      <c r="B29" s="13" t="s">
        <v>12</v>
      </c>
      <c r="C29" s="17">
        <v>1.208E-2</v>
      </c>
      <c r="D29" s="17">
        <f>C29</f>
        <v>1.208E-2</v>
      </c>
      <c r="E29" s="17">
        <f>D29</f>
        <v>1.208E-2</v>
      </c>
      <c r="F29" s="62">
        <f>E29</f>
        <v>1.208E-2</v>
      </c>
      <c r="G29" s="62">
        <f t="shared" ref="G29:H30" si="14">F29</f>
        <v>1.208E-2</v>
      </c>
      <c r="H29" s="62">
        <f t="shared" si="14"/>
        <v>1.208E-2</v>
      </c>
      <c r="I29" s="106"/>
      <c r="K29" s="105"/>
    </row>
    <row r="30" spans="1:12" x14ac:dyDescent="0.3">
      <c r="A30" s="9">
        <f>A29</f>
        <v>2026</v>
      </c>
      <c r="B30" s="13" t="s">
        <v>13</v>
      </c>
      <c r="C30" s="17">
        <v>3.2480000000000002E-2</v>
      </c>
      <c r="D30" s="211">
        <f>C30</f>
        <v>3.2480000000000002E-2</v>
      </c>
      <c r="E30" s="210">
        <v>4.9919999999999999E-2</v>
      </c>
      <c r="F30" s="204">
        <f>E30</f>
        <v>4.9919999999999999E-2</v>
      </c>
      <c r="G30" s="204">
        <f t="shared" si="14"/>
        <v>4.9919999999999999E-2</v>
      </c>
      <c r="H30" s="204">
        <f t="shared" si="14"/>
        <v>4.9919999999999999E-2</v>
      </c>
      <c r="I30" s="106">
        <f>E30/D30-1</f>
        <v>0.53694581280788167</v>
      </c>
      <c r="K30" s="105"/>
    </row>
    <row r="31" spans="1:12" ht="15" thickBot="1" x14ac:dyDescent="0.35">
      <c r="A31" s="9">
        <f>A30</f>
        <v>2026</v>
      </c>
      <c r="B31" s="19" t="s">
        <v>13</v>
      </c>
      <c r="C31" s="205"/>
      <c r="D31" s="218">
        <v>4.9919999999999999E-2</v>
      </c>
      <c r="E31" s="217"/>
      <c r="F31" s="206"/>
      <c r="G31" s="206"/>
      <c r="H31" s="206"/>
      <c r="I31" s="203"/>
      <c r="K31" s="105"/>
    </row>
    <row r="32" spans="1:12" x14ac:dyDescent="0.3">
      <c r="D32" s="157">
        <f>D31/D30-1</f>
        <v>0.53694581280788167</v>
      </c>
      <c r="E32" s="105">
        <f>E24*E30</f>
        <v>1279.2</v>
      </c>
      <c r="I32" s="108"/>
    </row>
    <row r="33" spans="1:11" x14ac:dyDescent="0.3">
      <c r="D33" s="105"/>
      <c r="E33" s="105"/>
    </row>
    <row r="34" spans="1:11" x14ac:dyDescent="0.3">
      <c r="B34" s="54" t="s">
        <v>41</v>
      </c>
      <c r="C34" s="55">
        <f t="shared" ref="C34:I34" si="15">+C37-C69</f>
        <v>1119.3100000000002</v>
      </c>
      <c r="D34" s="55">
        <f t="shared" si="15"/>
        <v>-3980.9900000000002</v>
      </c>
      <c r="E34" s="55">
        <f t="shared" si="15"/>
        <v>1947.2100000000003</v>
      </c>
      <c r="F34" s="55">
        <f t="shared" si="15"/>
        <v>1268.7699999999995</v>
      </c>
      <c r="G34" s="55">
        <f t="shared" si="15"/>
        <v>2433.6899999999996</v>
      </c>
      <c r="H34" s="55">
        <f t="shared" si="15"/>
        <v>415.1099999999999</v>
      </c>
      <c r="I34" s="55">
        <f t="shared" si="15"/>
        <v>3203.0999999999967</v>
      </c>
      <c r="K34" s="55">
        <f>+K37-K69</f>
        <v>3819.279999999997</v>
      </c>
    </row>
    <row r="35" spans="1:11" ht="15" thickBot="1" x14ac:dyDescent="0.35">
      <c r="C35" s="56">
        <f t="shared" ref="C35:I35" si="16">+C34/C69</f>
        <v>8.7644663691175335</v>
      </c>
      <c r="D35" s="56">
        <f t="shared" si="16"/>
        <v>-0.70234132003803695</v>
      </c>
      <c r="E35" s="56">
        <f t="shared" si="16"/>
        <v>1.4046093919065139</v>
      </c>
      <c r="F35" s="56">
        <f t="shared" si="16"/>
        <v>0.9736626019691651</v>
      </c>
      <c r="G35" s="56">
        <f t="shared" si="16"/>
        <v>0.91028748400996418</v>
      </c>
      <c r="H35" s="56">
        <f t="shared" si="16"/>
        <v>0.31047636143334745</v>
      </c>
      <c r="I35" s="56">
        <f t="shared" si="16"/>
        <v>0.25633371799529736</v>
      </c>
      <c r="K35" s="56">
        <f>+K34/K69</f>
        <v>0.40417201078559567</v>
      </c>
    </row>
    <row r="36" spans="1:11" s="1" customFormat="1" ht="43.8" thickBot="1" x14ac:dyDescent="0.35">
      <c r="A36" s="38">
        <f>A37</f>
        <v>2025</v>
      </c>
      <c r="B36" s="97" t="s">
        <v>47</v>
      </c>
      <c r="C36" s="39" t="s">
        <v>2</v>
      </c>
      <c r="D36" s="39" t="s">
        <v>3</v>
      </c>
      <c r="E36" s="39" t="s">
        <v>26</v>
      </c>
      <c r="F36" s="39" t="s">
        <v>4</v>
      </c>
      <c r="G36" s="215" t="s">
        <v>5</v>
      </c>
      <c r="H36" s="40" t="s">
        <v>6</v>
      </c>
      <c r="I36" s="165" t="str">
        <f>I6</f>
        <v>TOTAL FACTURES</v>
      </c>
      <c r="J36" s="166" t="str">
        <f>J6</f>
        <v>Quote part réchauffement eau</v>
      </c>
      <c r="K36" s="165" t="str">
        <f>K6</f>
        <v>TOTAL COMPTE COMBUSTIBLE</v>
      </c>
    </row>
    <row r="37" spans="1:11" x14ac:dyDescent="0.3">
      <c r="A37" s="5">
        <v>2025</v>
      </c>
      <c r="B37" s="6" t="s">
        <v>1</v>
      </c>
      <c r="C37" s="7">
        <f>SUM(C38:C44)</f>
        <v>1247.0200000000002</v>
      </c>
      <c r="D37" s="7">
        <f t="shared" ref="D37:H37" si="17">SUM(D38:D44)</f>
        <v>1687.1799999999998</v>
      </c>
      <c r="E37" s="7">
        <f t="shared" si="17"/>
        <v>3333.51</v>
      </c>
      <c r="F37" s="7">
        <f t="shared" si="17"/>
        <v>2571.8599999999997</v>
      </c>
      <c r="G37" s="7">
        <f t="shared" si="17"/>
        <v>5107.2299999999996</v>
      </c>
      <c r="H37" s="8">
        <f t="shared" si="17"/>
        <v>1752.12</v>
      </c>
      <c r="I37" s="167">
        <f>SUM(C37:H37)</f>
        <v>15698.919999999998</v>
      </c>
      <c r="J37" s="34">
        <v>-2430</v>
      </c>
      <c r="K37" s="170">
        <f>I37+J37</f>
        <v>13268.919999999998</v>
      </c>
    </row>
    <row r="38" spans="1:11" x14ac:dyDescent="0.3">
      <c r="A38" s="9">
        <f>A37</f>
        <v>2025</v>
      </c>
      <c r="B38" s="10" t="s">
        <v>8</v>
      </c>
      <c r="C38" s="11">
        <v>2.2999999999999998</v>
      </c>
      <c r="D38" s="11">
        <v>2.38</v>
      </c>
      <c r="E38" s="11">
        <f>+D38</f>
        <v>2.38</v>
      </c>
      <c r="F38" s="11">
        <v>2.42</v>
      </c>
      <c r="G38" s="11">
        <v>2.38</v>
      </c>
      <c r="H38" s="12">
        <v>2.38</v>
      </c>
      <c r="I38" s="9"/>
      <c r="J38" s="10"/>
      <c r="K38" s="118"/>
    </row>
    <row r="39" spans="1:11" x14ac:dyDescent="0.3">
      <c r="A39" s="9">
        <f t="shared" ref="A39:A44" si="18">A38</f>
        <v>2025</v>
      </c>
      <c r="B39" s="10" t="s">
        <v>14</v>
      </c>
      <c r="C39" s="11">
        <v>29.32</v>
      </c>
      <c r="D39" s="11">
        <f>C39</f>
        <v>29.32</v>
      </c>
      <c r="E39" s="11">
        <f>+D39</f>
        <v>29.32</v>
      </c>
      <c r="F39" s="11">
        <v>31.02</v>
      </c>
      <c r="G39" s="11">
        <f>F39</f>
        <v>31.02</v>
      </c>
      <c r="H39" s="12">
        <v>31.02</v>
      </c>
      <c r="I39" s="9"/>
      <c r="J39" s="10"/>
      <c r="K39" s="118"/>
    </row>
    <row r="40" spans="1:11" x14ac:dyDescent="0.3">
      <c r="A40" s="9">
        <f t="shared" si="18"/>
        <v>2025</v>
      </c>
      <c r="B40" s="10" t="s">
        <v>15</v>
      </c>
      <c r="C40" s="98">
        <v>189.14</v>
      </c>
      <c r="D40" s="98">
        <v>256.05</v>
      </c>
      <c r="E40" s="98">
        <v>512.09</v>
      </c>
      <c r="F40" s="98">
        <v>392.48</v>
      </c>
      <c r="G40" s="98">
        <v>831.66</v>
      </c>
      <c r="H40" s="99">
        <v>271.08</v>
      </c>
      <c r="I40" s="168">
        <f>SUM(C40:H40)</f>
        <v>2452.5</v>
      </c>
      <c r="J40" s="169"/>
      <c r="K40" s="118"/>
    </row>
    <row r="41" spans="1:11" ht="17.399999999999999" customHeight="1" x14ac:dyDescent="0.3">
      <c r="A41" s="9">
        <f t="shared" si="18"/>
        <v>2025</v>
      </c>
      <c r="B41" s="10" t="s">
        <v>10</v>
      </c>
      <c r="C41" s="98">
        <v>539.33000000000004</v>
      </c>
      <c r="D41" s="98">
        <v>730.15</v>
      </c>
      <c r="E41" s="98">
        <v>1460.3</v>
      </c>
      <c r="F41" s="98">
        <v>1097.04</v>
      </c>
      <c r="G41" s="98">
        <v>2236.12</v>
      </c>
      <c r="H41" s="99">
        <v>728.85</v>
      </c>
      <c r="I41" s="168">
        <f>SUM(C41:H41)</f>
        <v>6791.79</v>
      </c>
      <c r="J41" s="169"/>
      <c r="K41" s="118"/>
    </row>
    <row r="42" spans="1:11" ht="17.399999999999999" customHeight="1" x14ac:dyDescent="0.3">
      <c r="A42" s="9">
        <f t="shared" si="18"/>
        <v>2025</v>
      </c>
      <c r="B42" s="10" t="s">
        <v>16</v>
      </c>
      <c r="C42" s="11"/>
      <c r="D42" s="11"/>
      <c r="E42" s="11"/>
      <c r="F42" s="11">
        <v>42</v>
      </c>
      <c r="G42" s="11"/>
      <c r="H42" s="12">
        <v>87</v>
      </c>
      <c r="I42" s="9"/>
      <c r="J42" s="10"/>
      <c r="K42" s="118"/>
    </row>
    <row r="43" spans="1:11" x14ac:dyDescent="0.3">
      <c r="A43" s="9">
        <f t="shared" si="18"/>
        <v>2025</v>
      </c>
      <c r="B43" s="10" t="s">
        <v>11</v>
      </c>
      <c r="C43" s="11">
        <v>283.75</v>
      </c>
      <c r="D43" s="11">
        <v>392.76</v>
      </c>
      <c r="E43" s="11">
        <v>778.51</v>
      </c>
      <c r="F43" s="11">
        <v>586.95000000000005</v>
      </c>
      <c r="G43" s="11">
        <v>1154.8499999999999</v>
      </c>
      <c r="H43" s="12">
        <v>353</v>
      </c>
      <c r="I43" s="9"/>
      <c r="J43" s="10"/>
      <c r="K43" s="118"/>
    </row>
    <row r="44" spans="1:11" ht="15" thickBot="1" x14ac:dyDescent="0.35">
      <c r="A44" s="9">
        <f t="shared" si="18"/>
        <v>2025</v>
      </c>
      <c r="B44" s="10" t="s">
        <v>9</v>
      </c>
      <c r="C44" s="11">
        <v>203.18</v>
      </c>
      <c r="D44" s="11">
        <v>276.52</v>
      </c>
      <c r="E44" s="11">
        <v>550.91</v>
      </c>
      <c r="F44" s="11">
        <v>419.95</v>
      </c>
      <c r="G44" s="11">
        <v>851.2</v>
      </c>
      <c r="H44" s="12">
        <v>278.79000000000002</v>
      </c>
      <c r="I44" s="18"/>
      <c r="J44" s="21"/>
      <c r="K44" s="122"/>
    </row>
    <row r="45" spans="1:11" x14ac:dyDescent="0.3">
      <c r="A45" s="22"/>
      <c r="B45" s="23"/>
      <c r="C45" s="24"/>
      <c r="D45" s="24"/>
      <c r="E45" s="24"/>
      <c r="F45" s="24"/>
      <c r="G45" s="24"/>
      <c r="H45" s="24"/>
      <c r="I45" s="155"/>
      <c r="J45" s="2"/>
    </row>
    <row r="46" spans="1:11" x14ac:dyDescent="0.3">
      <c r="A46" s="47">
        <f>A37</f>
        <v>2025</v>
      </c>
      <c r="B46" s="48" t="s">
        <v>28</v>
      </c>
      <c r="C46" s="49" t="s">
        <v>30</v>
      </c>
      <c r="D46" s="49" t="s">
        <v>30</v>
      </c>
      <c r="E46" s="49" t="s">
        <v>30</v>
      </c>
      <c r="F46" s="49" t="s">
        <v>30</v>
      </c>
      <c r="G46" s="173" t="s">
        <v>30</v>
      </c>
      <c r="H46" s="49" t="s">
        <v>30</v>
      </c>
      <c r="I46" s="4"/>
      <c r="J46" s="2"/>
    </row>
    <row r="47" spans="1:11" x14ac:dyDescent="0.3">
      <c r="A47" s="9">
        <f>A46</f>
        <v>2025</v>
      </c>
      <c r="B47" s="10" t="s">
        <v>29</v>
      </c>
      <c r="C47" s="14">
        <v>19782</v>
      </c>
      <c r="D47" s="14">
        <v>21782</v>
      </c>
      <c r="E47" s="14">
        <v>25782</v>
      </c>
      <c r="F47" s="14">
        <v>28787</v>
      </c>
      <c r="G47" s="14">
        <v>34923</v>
      </c>
      <c r="H47" s="14">
        <v>36923</v>
      </c>
      <c r="I47" s="4"/>
      <c r="J47" s="2"/>
    </row>
    <row r="48" spans="1:11" x14ac:dyDescent="0.3">
      <c r="A48" s="9">
        <f t="shared" ref="A48:A52" si="19">A47</f>
        <v>2025</v>
      </c>
      <c r="B48" s="10" t="s">
        <v>31</v>
      </c>
      <c r="C48" s="14">
        <v>18282</v>
      </c>
      <c r="D48" s="14">
        <f>C47</f>
        <v>19782</v>
      </c>
      <c r="E48" s="14">
        <f t="shared" ref="E48:H48" si="20">D47</f>
        <v>21782</v>
      </c>
      <c r="F48" s="14">
        <f t="shared" si="20"/>
        <v>25782</v>
      </c>
      <c r="G48" s="14">
        <f t="shared" si="20"/>
        <v>28787</v>
      </c>
      <c r="H48" s="14">
        <f t="shared" si="20"/>
        <v>34923</v>
      </c>
      <c r="I48" s="4"/>
      <c r="J48" s="2"/>
    </row>
    <row r="49" spans="1:11" x14ac:dyDescent="0.3">
      <c r="A49" s="9">
        <f t="shared" si="19"/>
        <v>2025</v>
      </c>
      <c r="B49" s="65" t="s">
        <v>32</v>
      </c>
      <c r="C49" s="34">
        <f>C47-C48</f>
        <v>1500</v>
      </c>
      <c r="D49" s="34">
        <f>D47-D48</f>
        <v>2000</v>
      </c>
      <c r="E49" s="34">
        <f>E47-E48</f>
        <v>4000</v>
      </c>
      <c r="F49" s="34">
        <f t="shared" ref="F49:H49" si="21">F47-F48</f>
        <v>3005</v>
      </c>
      <c r="G49" s="216">
        <f t="shared" si="21"/>
        <v>6136</v>
      </c>
      <c r="H49" s="34">
        <f t="shared" si="21"/>
        <v>2000</v>
      </c>
      <c r="I49" s="34">
        <f>SUM(C49:H49)</f>
        <v>18641</v>
      </c>
      <c r="J49" s="60"/>
      <c r="K49" s="60"/>
    </row>
    <row r="50" spans="1:11" x14ac:dyDescent="0.3">
      <c r="A50" s="9">
        <f t="shared" si="19"/>
        <v>2025</v>
      </c>
      <c r="B50" s="10" t="s">
        <v>33</v>
      </c>
      <c r="C50" s="214">
        <v>11.07</v>
      </c>
      <c r="D50" s="214">
        <v>11.24</v>
      </c>
      <c r="E50" s="33">
        <v>11.22</v>
      </c>
      <c r="F50" s="33">
        <v>11.24</v>
      </c>
      <c r="G50" s="11">
        <f>E50</f>
        <v>11.22</v>
      </c>
      <c r="H50" s="11">
        <f>G50</f>
        <v>11.22</v>
      </c>
      <c r="I50" s="100">
        <f>AVERAGE(C50:H50)</f>
        <v>11.201666666666668</v>
      </c>
      <c r="J50" s="2"/>
    </row>
    <row r="51" spans="1:11" x14ac:dyDescent="0.3">
      <c r="A51" s="9">
        <f t="shared" si="19"/>
        <v>2025</v>
      </c>
      <c r="B51" s="10"/>
      <c r="C51" s="33"/>
      <c r="D51" s="33"/>
      <c r="E51" s="33"/>
      <c r="F51" s="33"/>
      <c r="G51" s="11"/>
      <c r="H51" s="37"/>
      <c r="J51" s="2"/>
    </row>
    <row r="52" spans="1:11" ht="15" thickBot="1" x14ac:dyDescent="0.35">
      <c r="A52" s="9">
        <f t="shared" si="19"/>
        <v>2025</v>
      </c>
      <c r="B52" s="68" t="s">
        <v>46</v>
      </c>
      <c r="C52" s="69">
        <f t="shared" ref="C52:H52" si="22">+C49/C80-1</f>
        <v>0</v>
      </c>
      <c r="D52" s="69">
        <f t="shared" si="22"/>
        <v>-0.72598986162488011</v>
      </c>
      <c r="E52" s="69">
        <f t="shared" si="22"/>
        <v>1.3529411764705883</v>
      </c>
      <c r="F52" s="69">
        <f t="shared" si="22"/>
        <v>0.87812500000000004</v>
      </c>
      <c r="G52" s="69">
        <f t="shared" si="22"/>
        <v>0.86504559270516723</v>
      </c>
      <c r="H52" s="69">
        <f t="shared" si="22"/>
        <v>0.25786163522012573</v>
      </c>
      <c r="J52" s="2"/>
    </row>
    <row r="53" spans="1:11" ht="28.8" x14ac:dyDescent="0.3">
      <c r="A53" s="26">
        <v>2025</v>
      </c>
      <c r="B53" s="27" t="s">
        <v>72</v>
      </c>
      <c r="C53" s="35" t="s">
        <v>19</v>
      </c>
      <c r="D53" s="35" t="s">
        <v>18</v>
      </c>
      <c r="E53" s="35" t="s">
        <v>27</v>
      </c>
      <c r="F53" s="35" t="s">
        <v>17</v>
      </c>
      <c r="G53" s="35" t="s">
        <v>21</v>
      </c>
      <c r="H53" s="35" t="s">
        <v>20</v>
      </c>
      <c r="I53" s="104">
        <f>I49*I50</f>
        <v>208810.26833333337</v>
      </c>
      <c r="J53" s="2"/>
    </row>
    <row r="54" spans="1:11" x14ac:dyDescent="0.3">
      <c r="A54" s="9">
        <f>A53</f>
        <v>2025</v>
      </c>
      <c r="B54" s="13" t="s">
        <v>12</v>
      </c>
      <c r="C54" s="14">
        <v>10378</v>
      </c>
      <c r="D54" s="14"/>
      <c r="E54" s="14"/>
      <c r="F54" s="44">
        <v>22517</v>
      </c>
      <c r="G54" s="44">
        <v>49254</v>
      </c>
      <c r="H54" s="28">
        <v>22440</v>
      </c>
      <c r="J54" s="2"/>
    </row>
    <row r="55" spans="1:11" x14ac:dyDescent="0.3">
      <c r="A55" s="9">
        <f t="shared" ref="A55:A60" si="23">A54</f>
        <v>2025</v>
      </c>
      <c r="B55" s="13" t="s">
        <v>13</v>
      </c>
      <c r="C55" s="14">
        <f>C54</f>
        <v>10378</v>
      </c>
      <c r="D55" s="14"/>
      <c r="E55" s="14"/>
      <c r="F55" s="44">
        <v>22517</v>
      </c>
      <c r="G55" s="44">
        <f>G54</f>
        <v>49254</v>
      </c>
      <c r="H55" s="28">
        <f>H54</f>
        <v>22440</v>
      </c>
      <c r="J55" s="2"/>
    </row>
    <row r="56" spans="1:11" x14ac:dyDescent="0.3">
      <c r="A56" s="9">
        <f t="shared" si="23"/>
        <v>2025</v>
      </c>
      <c r="B56" s="13" t="s">
        <v>12</v>
      </c>
      <c r="C56" s="14">
        <v>6227</v>
      </c>
      <c r="D56" s="14">
        <v>22480</v>
      </c>
      <c r="E56" s="14">
        <v>44960</v>
      </c>
      <c r="F56" s="44">
        <v>11259</v>
      </c>
      <c r="G56" s="44">
        <v>18470</v>
      </c>
      <c r="H56" s="28"/>
      <c r="J56" s="2"/>
    </row>
    <row r="57" spans="1:11" x14ac:dyDescent="0.3">
      <c r="A57" s="9">
        <f t="shared" si="23"/>
        <v>2025</v>
      </c>
      <c r="B57" s="13" t="s">
        <v>13</v>
      </c>
      <c r="C57" s="14">
        <v>6227</v>
      </c>
      <c r="D57" s="14">
        <f>D56</f>
        <v>22480</v>
      </c>
      <c r="E57" s="14">
        <f>+E56</f>
        <v>44960</v>
      </c>
      <c r="F57" s="44">
        <f>F56</f>
        <v>11259</v>
      </c>
      <c r="G57" s="44">
        <v>18470</v>
      </c>
      <c r="H57" s="28"/>
      <c r="J57" s="2"/>
    </row>
    <row r="58" spans="1:11" x14ac:dyDescent="0.3">
      <c r="A58" s="9">
        <f t="shared" si="23"/>
        <v>2025</v>
      </c>
      <c r="B58" s="13" t="s">
        <v>12</v>
      </c>
      <c r="C58" s="14"/>
      <c r="D58" s="14"/>
      <c r="E58" s="14"/>
      <c r="F58" s="44"/>
      <c r="G58" s="44">
        <v>1122</v>
      </c>
      <c r="H58" s="28"/>
      <c r="J58" s="2"/>
    </row>
    <row r="59" spans="1:11" x14ac:dyDescent="0.3">
      <c r="A59" s="9">
        <f t="shared" si="23"/>
        <v>2025</v>
      </c>
      <c r="B59" s="13" t="s">
        <v>13</v>
      </c>
      <c r="C59" s="14"/>
      <c r="D59" s="14"/>
      <c r="E59" s="14"/>
      <c r="F59" s="44"/>
      <c r="G59" s="44">
        <v>1122</v>
      </c>
      <c r="H59" s="28"/>
      <c r="J59" s="2"/>
    </row>
    <row r="60" spans="1:11" ht="15" thickBot="1" x14ac:dyDescent="0.35">
      <c r="A60" s="9">
        <f t="shared" si="23"/>
        <v>2025</v>
      </c>
      <c r="B60" s="10"/>
      <c r="C60" s="29"/>
      <c r="D60" s="29"/>
      <c r="E60" s="29"/>
      <c r="F60" s="221"/>
      <c r="G60" s="221"/>
      <c r="H60" s="30"/>
      <c r="J60" s="2"/>
    </row>
    <row r="61" spans="1:11" x14ac:dyDescent="0.3">
      <c r="A61" s="26">
        <v>2025</v>
      </c>
      <c r="B61" s="27" t="s">
        <v>7</v>
      </c>
      <c r="C61" s="41"/>
      <c r="D61" s="41"/>
      <c r="E61" s="41"/>
      <c r="F61" s="41"/>
      <c r="G61" s="41"/>
      <c r="H61" s="42"/>
      <c r="I61" t="s">
        <v>84</v>
      </c>
      <c r="J61" s="2"/>
    </row>
    <row r="62" spans="1:11" x14ac:dyDescent="0.3">
      <c r="A62" s="9">
        <f>A61</f>
        <v>2025</v>
      </c>
      <c r="B62" s="13" t="s">
        <v>12</v>
      </c>
      <c r="C62" s="17">
        <v>1.1390000000000001E-2</v>
      </c>
      <c r="D62" s="17">
        <f>C62</f>
        <v>1.1390000000000001E-2</v>
      </c>
      <c r="E62" s="17">
        <f>+D62</f>
        <v>1.1390000000000001E-2</v>
      </c>
      <c r="F62" s="211">
        <f>E62</f>
        <v>1.1390000000000001E-2</v>
      </c>
      <c r="G62" s="211">
        <f>H62</f>
        <v>1.208E-2</v>
      </c>
      <c r="H62" s="31">
        <v>1.208E-2</v>
      </c>
      <c r="I62" s="106">
        <f>G62/F62-1</f>
        <v>6.0579455662862047E-2</v>
      </c>
      <c r="J62" s="2"/>
    </row>
    <row r="63" spans="1:11" ht="15" thickBot="1" x14ac:dyDescent="0.35">
      <c r="A63" s="9">
        <f t="shared" ref="A63" si="24">A62</f>
        <v>2025</v>
      </c>
      <c r="B63" s="19" t="s">
        <v>13</v>
      </c>
      <c r="C63" s="20">
        <v>3.2480000000000002E-2</v>
      </c>
      <c r="D63" s="20">
        <f>C63</f>
        <v>3.2480000000000002E-2</v>
      </c>
      <c r="E63" s="20">
        <f>+D63</f>
        <v>3.2480000000000002E-2</v>
      </c>
      <c r="F63" s="160">
        <f>E63</f>
        <v>3.2480000000000002E-2</v>
      </c>
      <c r="G63" s="160">
        <f>H63</f>
        <v>3.4279999999999998E-2</v>
      </c>
      <c r="H63" s="32">
        <v>3.4279999999999998E-2</v>
      </c>
      <c r="I63" s="107">
        <v>0</v>
      </c>
      <c r="J63" s="2"/>
    </row>
    <row r="64" spans="1:11" x14ac:dyDescent="0.3">
      <c r="C64" s="4"/>
      <c r="D64" s="4"/>
      <c r="E64" s="4"/>
      <c r="F64" s="4"/>
      <c r="G64" s="4"/>
      <c r="H64" s="4"/>
    </row>
    <row r="65" spans="1:13" x14ac:dyDescent="0.3">
      <c r="C65" s="4"/>
      <c r="D65" s="4"/>
      <c r="E65" s="4"/>
      <c r="F65" s="4"/>
      <c r="G65" s="4"/>
      <c r="H65" s="4"/>
    </row>
    <row r="66" spans="1:13" x14ac:dyDescent="0.3">
      <c r="B66" s="54" t="s">
        <v>94</v>
      </c>
      <c r="C66" s="55">
        <f t="shared" ref="C66:I66" si="25">+C69-C97</f>
        <v>-3070.8100000000004</v>
      </c>
      <c r="D66" s="55">
        <f t="shared" si="25"/>
        <v>4577.6400000000003</v>
      </c>
      <c r="E66" s="55">
        <f t="shared" si="25"/>
        <v>295.77</v>
      </c>
      <c r="F66" s="55">
        <f t="shared" si="25"/>
        <v>207.66000000000008</v>
      </c>
      <c r="G66" s="55">
        <f t="shared" si="25"/>
        <v>-1119.5600000000004</v>
      </c>
      <c r="H66" s="55">
        <f t="shared" si="25"/>
        <v>972.05</v>
      </c>
      <c r="I66" s="55">
        <f t="shared" si="25"/>
        <v>1862.7500000000018</v>
      </c>
      <c r="K66" s="55">
        <f>+K69-K97</f>
        <v>676.25000000000182</v>
      </c>
    </row>
    <row r="67" spans="1:13" ht="15" thickBot="1" x14ac:dyDescent="0.35">
      <c r="C67" s="56">
        <f t="shared" ref="C67:I67" si="26">C66/C97</f>
        <v>-0.96007215837324766</v>
      </c>
      <c r="D67" s="56">
        <f t="shared" si="26"/>
        <v>4.1976286759648982</v>
      </c>
      <c r="E67" s="56">
        <f t="shared" si="26"/>
        <v>0.27121674781986738</v>
      </c>
      <c r="F67" s="56">
        <f t="shared" si="26"/>
        <v>0.18956939284116747</v>
      </c>
      <c r="G67" s="56">
        <f t="shared" si="26"/>
        <v>-0.29515699559726882</v>
      </c>
      <c r="H67" s="56">
        <f t="shared" si="26"/>
        <v>2.6634425690486623</v>
      </c>
      <c r="I67" s="56">
        <f t="shared" si="26"/>
        <v>0.17518458921083016</v>
      </c>
      <c r="K67" s="56">
        <f>K66/K97</f>
        <v>7.7079669318245503E-2</v>
      </c>
    </row>
    <row r="68" spans="1:13" ht="43.8" thickBot="1" x14ac:dyDescent="0.35">
      <c r="A68" s="38">
        <f>A69</f>
        <v>2024</v>
      </c>
      <c r="B68" s="97" t="s">
        <v>47</v>
      </c>
      <c r="C68" s="39" t="s">
        <v>2</v>
      </c>
      <c r="D68" s="215" t="s">
        <v>3</v>
      </c>
      <c r="E68" s="39" t="s">
        <v>26</v>
      </c>
      <c r="F68" s="39" t="s">
        <v>4</v>
      </c>
      <c r="G68" s="39" t="s">
        <v>5</v>
      </c>
      <c r="H68" s="40" t="s">
        <v>6</v>
      </c>
      <c r="I68" s="165" t="str">
        <f>I36</f>
        <v>TOTAL FACTURES</v>
      </c>
      <c r="J68" s="166" t="str">
        <f>J36</f>
        <v>Quote part réchauffement eau</v>
      </c>
      <c r="K68" s="165" t="str">
        <f>K36</f>
        <v>TOTAL COMPTE COMBUSTIBLE</v>
      </c>
    </row>
    <row r="69" spans="1:13" x14ac:dyDescent="0.3">
      <c r="A69" s="5">
        <v>2024</v>
      </c>
      <c r="B69" s="6" t="s">
        <v>1</v>
      </c>
      <c r="C69" s="7">
        <f t="shared" ref="C69:H69" si="27">SUM(C70:C75)</f>
        <v>127.71000000000001</v>
      </c>
      <c r="D69" s="7">
        <f t="shared" si="27"/>
        <v>5668.17</v>
      </c>
      <c r="E69" s="7">
        <f t="shared" si="27"/>
        <v>1386.3</v>
      </c>
      <c r="F69" s="7">
        <f t="shared" si="27"/>
        <v>1303.0900000000001</v>
      </c>
      <c r="G69" s="7">
        <f t="shared" si="27"/>
        <v>2673.54</v>
      </c>
      <c r="H69" s="8">
        <f t="shared" si="27"/>
        <v>1337.01</v>
      </c>
      <c r="I69" s="167">
        <f>SUM(C69:H69)</f>
        <v>12495.820000000002</v>
      </c>
      <c r="J69" s="34">
        <v>-3046.18</v>
      </c>
      <c r="K69" s="170">
        <f>I69+J69</f>
        <v>9449.6400000000012</v>
      </c>
      <c r="M69" s="4"/>
    </row>
    <row r="70" spans="1:13" x14ac:dyDescent="0.3">
      <c r="A70" s="9">
        <f>A69</f>
        <v>2024</v>
      </c>
      <c r="B70" s="10" t="s">
        <v>8</v>
      </c>
      <c r="C70" s="11">
        <v>2.33</v>
      </c>
      <c r="D70" s="11"/>
      <c r="E70" s="11">
        <v>4.74</v>
      </c>
      <c r="F70" s="11">
        <v>2.41</v>
      </c>
      <c r="G70" s="11">
        <v>2.37</v>
      </c>
      <c r="H70" s="12">
        <v>3.77</v>
      </c>
      <c r="I70" s="9"/>
      <c r="J70" s="10"/>
      <c r="K70" s="118"/>
    </row>
    <row r="71" spans="1:13" x14ac:dyDescent="0.3">
      <c r="A71" s="9">
        <f t="shared" ref="A71:A75" si="28">A70</f>
        <v>2024</v>
      </c>
      <c r="B71" s="10" t="s">
        <v>14</v>
      </c>
      <c r="C71" s="11">
        <v>23.24</v>
      </c>
      <c r="D71" s="45">
        <v>730.02</v>
      </c>
      <c r="E71" s="11">
        <v>46.48</v>
      </c>
      <c r="F71" s="11">
        <v>29.32</v>
      </c>
      <c r="G71" s="11">
        <f>F71</f>
        <v>29.32</v>
      </c>
      <c r="H71" s="12">
        <v>46.42</v>
      </c>
      <c r="I71" s="9"/>
      <c r="J71" s="10"/>
      <c r="K71" s="118"/>
    </row>
    <row r="72" spans="1:13" x14ac:dyDescent="0.3">
      <c r="A72" s="9">
        <f t="shared" si="28"/>
        <v>2024</v>
      </c>
      <c r="B72" s="10" t="s">
        <v>15</v>
      </c>
      <c r="C72" s="71">
        <v>13.39</v>
      </c>
      <c r="D72" s="3"/>
      <c r="E72" s="71">
        <v>170.03</v>
      </c>
      <c r="F72" s="71">
        <v>176.47</v>
      </c>
      <c r="G72" s="71">
        <v>414.82</v>
      </c>
      <c r="H72" s="171">
        <v>200.48</v>
      </c>
      <c r="I72" s="168">
        <f>SUM(C72:H72)</f>
        <v>975.19</v>
      </c>
      <c r="J72" s="169"/>
      <c r="K72" s="118"/>
    </row>
    <row r="73" spans="1:13" x14ac:dyDescent="0.3">
      <c r="A73" s="9">
        <f t="shared" si="28"/>
        <v>2024</v>
      </c>
      <c r="B73" s="10" t="s">
        <v>10</v>
      </c>
      <c r="C73" s="71">
        <v>48.72</v>
      </c>
      <c r="D73" s="71">
        <v>2655.21</v>
      </c>
      <c r="E73" s="71">
        <v>618.41999999999996</v>
      </c>
      <c r="F73" s="71">
        <v>582.04</v>
      </c>
      <c r="G73" s="71">
        <v>1182.92</v>
      </c>
      <c r="H73" s="171">
        <v>571.67999999999995</v>
      </c>
      <c r="I73" s="168">
        <f>SUM(C73:H73)</f>
        <v>5658.99</v>
      </c>
      <c r="J73" s="169"/>
      <c r="K73" s="118"/>
    </row>
    <row r="74" spans="1:13" x14ac:dyDescent="0.3">
      <c r="A74" s="9">
        <f t="shared" si="28"/>
        <v>2024</v>
      </c>
      <c r="B74" s="10" t="s">
        <v>11</v>
      </c>
      <c r="C74" s="11">
        <v>22.52</v>
      </c>
      <c r="D74" s="11">
        <v>1338.25</v>
      </c>
      <c r="E74" s="11">
        <v>323.14999999999998</v>
      </c>
      <c r="F74" s="11">
        <v>300.35000000000002</v>
      </c>
      <c r="G74" s="11">
        <v>603.20000000000005</v>
      </c>
      <c r="H74" s="12">
        <v>299.22000000000003</v>
      </c>
      <c r="I74" s="9"/>
      <c r="J74" s="10"/>
      <c r="K74" s="118"/>
    </row>
    <row r="75" spans="1:13" ht="15" thickBot="1" x14ac:dyDescent="0.35">
      <c r="A75" s="9">
        <f t="shared" si="28"/>
        <v>2024</v>
      </c>
      <c r="B75" s="10" t="s">
        <v>9</v>
      </c>
      <c r="C75" s="11">
        <v>17.510000000000002</v>
      </c>
      <c r="D75" s="11">
        <v>944.69</v>
      </c>
      <c r="E75" s="11">
        <v>223.48</v>
      </c>
      <c r="F75" s="11">
        <v>212.5</v>
      </c>
      <c r="G75" s="11">
        <v>440.91</v>
      </c>
      <c r="H75" s="12">
        <v>215.44</v>
      </c>
      <c r="I75" s="18"/>
      <c r="J75" s="21"/>
      <c r="K75" s="122"/>
    </row>
    <row r="76" spans="1:13" x14ac:dyDescent="0.3">
      <c r="A76" s="22"/>
      <c r="B76" s="23"/>
      <c r="C76" s="24"/>
      <c r="D76" s="24"/>
      <c r="E76" s="24"/>
      <c r="F76" s="24"/>
      <c r="G76" s="24"/>
      <c r="H76" s="25"/>
      <c r="I76" s="155"/>
      <c r="J76" s="2"/>
    </row>
    <row r="77" spans="1:13" x14ac:dyDescent="0.3">
      <c r="A77" s="47">
        <f>A69</f>
        <v>2024</v>
      </c>
      <c r="B77" s="48" t="s">
        <v>28</v>
      </c>
      <c r="C77" s="49" t="s">
        <v>30</v>
      </c>
      <c r="D77" s="173" t="s">
        <v>30</v>
      </c>
      <c r="E77" s="49" t="s">
        <v>30</v>
      </c>
      <c r="F77" s="49" t="s">
        <v>30</v>
      </c>
      <c r="G77" s="49" t="s">
        <v>30</v>
      </c>
      <c r="H77" s="51" t="s">
        <v>30</v>
      </c>
      <c r="I77" s="4"/>
    </row>
    <row r="78" spans="1:13" x14ac:dyDescent="0.3">
      <c r="A78" s="9">
        <f>A77</f>
        <v>2024</v>
      </c>
      <c r="B78" s="10" t="s">
        <v>29</v>
      </c>
      <c r="C78" s="14">
        <v>2803</v>
      </c>
      <c r="D78" s="15">
        <v>10102</v>
      </c>
      <c r="E78" s="14">
        <v>11802</v>
      </c>
      <c r="F78" s="14">
        <v>13402</v>
      </c>
      <c r="G78" s="14">
        <v>16692</v>
      </c>
      <c r="H78" s="28">
        <v>18282</v>
      </c>
      <c r="I78" s="4"/>
    </row>
    <row r="79" spans="1:13" x14ac:dyDescent="0.3">
      <c r="A79" s="9">
        <f t="shared" ref="A79:A81" si="29">A78</f>
        <v>2024</v>
      </c>
      <c r="B79" s="10" t="s">
        <v>31</v>
      </c>
      <c r="C79" s="14">
        <v>1303</v>
      </c>
      <c r="D79" s="14">
        <f>C78</f>
        <v>2803</v>
      </c>
      <c r="E79" s="14">
        <f t="shared" ref="E79:H79" si="30">D78</f>
        <v>10102</v>
      </c>
      <c r="F79" s="14">
        <f t="shared" si="30"/>
        <v>11802</v>
      </c>
      <c r="G79" s="14">
        <f t="shared" si="30"/>
        <v>13402</v>
      </c>
      <c r="H79" s="28">
        <f t="shared" si="30"/>
        <v>16692</v>
      </c>
      <c r="J79" s="67"/>
      <c r="K79" s="60"/>
    </row>
    <row r="80" spans="1:13" x14ac:dyDescent="0.3">
      <c r="A80" s="9">
        <f t="shared" si="29"/>
        <v>2024</v>
      </c>
      <c r="B80" s="65" t="s">
        <v>32</v>
      </c>
      <c r="C80" s="34">
        <f>C78-C79</f>
        <v>1500</v>
      </c>
      <c r="D80" s="36">
        <f>D78-D79</f>
        <v>7299</v>
      </c>
      <c r="E80" s="34">
        <f>E78-E79</f>
        <v>1700</v>
      </c>
      <c r="F80" s="34">
        <f t="shared" ref="F80" si="31">F78-F79</f>
        <v>1600</v>
      </c>
      <c r="G80" s="34">
        <f t="shared" ref="G80" si="32">G78-G79</f>
        <v>3290</v>
      </c>
      <c r="H80" s="66">
        <f t="shared" ref="H80" si="33">H78-H79</f>
        <v>1590</v>
      </c>
      <c r="I80" s="34">
        <f>SUM(C80:H80)</f>
        <v>16979</v>
      </c>
      <c r="J80" s="60"/>
    </row>
    <row r="81" spans="1:11" x14ac:dyDescent="0.3">
      <c r="A81" s="9">
        <f t="shared" si="29"/>
        <v>2024</v>
      </c>
      <c r="B81" s="10" t="s">
        <v>33</v>
      </c>
      <c r="C81" s="43">
        <v>1</v>
      </c>
      <c r="D81" s="43">
        <v>11.2</v>
      </c>
      <c r="E81" s="33">
        <v>11.22</v>
      </c>
      <c r="F81" s="33">
        <f>+D81</f>
        <v>11.2</v>
      </c>
      <c r="G81" s="11">
        <v>11.07</v>
      </c>
      <c r="H81" s="12">
        <f>G81</f>
        <v>11.07</v>
      </c>
      <c r="I81" s="100">
        <f>AVERAGE(C81:H81)</f>
        <v>9.4600000000000009</v>
      </c>
    </row>
    <row r="82" spans="1:11" ht="15" thickBot="1" x14ac:dyDescent="0.35">
      <c r="A82" s="9"/>
      <c r="B82" s="10"/>
      <c r="C82" s="33"/>
      <c r="D82" s="33"/>
      <c r="E82" s="33"/>
      <c r="F82" s="11"/>
      <c r="G82" s="11"/>
      <c r="H82" s="12"/>
    </row>
    <row r="83" spans="1:11" ht="28.8" x14ac:dyDescent="0.3">
      <c r="A83" s="26">
        <f>+A77</f>
        <v>2024</v>
      </c>
      <c r="B83" s="27" t="s">
        <v>72</v>
      </c>
      <c r="C83" s="35" t="s">
        <v>34</v>
      </c>
      <c r="D83" s="35" t="s">
        <v>35</v>
      </c>
      <c r="E83" s="35" t="s">
        <v>36</v>
      </c>
      <c r="F83" s="46" t="s">
        <v>37</v>
      </c>
      <c r="G83" s="212" t="s">
        <v>38</v>
      </c>
      <c r="H83" s="213" t="s">
        <v>39</v>
      </c>
      <c r="I83" s="104">
        <f>I80*I81</f>
        <v>160621.34000000003</v>
      </c>
    </row>
    <row r="84" spans="1:11" x14ac:dyDescent="0.3">
      <c r="A84" s="9">
        <f>A83</f>
        <v>2024</v>
      </c>
      <c r="B84" s="13" t="s">
        <v>12</v>
      </c>
      <c r="C84" s="14">
        <v>974</v>
      </c>
      <c r="D84" s="14"/>
      <c r="E84" s="14"/>
      <c r="F84" s="44">
        <v>11238</v>
      </c>
      <c r="G84" s="44"/>
      <c r="H84" s="28"/>
    </row>
    <row r="85" spans="1:11" x14ac:dyDescent="0.3">
      <c r="A85" s="9">
        <f t="shared" ref="A85:A87" si="34">A84</f>
        <v>2024</v>
      </c>
      <c r="B85" s="13" t="s">
        <v>13</v>
      </c>
      <c r="C85" s="14">
        <v>971</v>
      </c>
      <c r="D85" s="14"/>
      <c r="E85" s="14"/>
      <c r="F85" s="44">
        <f>+F84</f>
        <v>11238</v>
      </c>
      <c r="G85" s="44"/>
      <c r="H85" s="28"/>
    </row>
    <row r="86" spans="1:11" x14ac:dyDescent="0.3">
      <c r="A86" s="9">
        <f t="shared" si="34"/>
        <v>2024</v>
      </c>
      <c r="B86" s="13" t="s">
        <v>12</v>
      </c>
      <c r="C86" s="14">
        <v>529</v>
      </c>
      <c r="D86" s="14">
        <f>D80*D81</f>
        <v>81748.799999999988</v>
      </c>
      <c r="E86" s="14">
        <v>19040</v>
      </c>
      <c r="F86" s="14">
        <v>6882</v>
      </c>
      <c r="G86" s="14">
        <f t="shared" ref="G86" si="35">G80*G81</f>
        <v>36420.300000000003</v>
      </c>
      <c r="H86" s="28">
        <f>H80*H81</f>
        <v>17601.3</v>
      </c>
      <c r="I86" s="104"/>
    </row>
    <row r="87" spans="1:11" x14ac:dyDescent="0.3">
      <c r="A87" s="9">
        <f t="shared" si="34"/>
        <v>2024</v>
      </c>
      <c r="B87" s="13" t="s">
        <v>13</v>
      </c>
      <c r="C87" s="14">
        <v>6227</v>
      </c>
      <c r="D87" s="14">
        <f>D86</f>
        <v>81748.799999999988</v>
      </c>
      <c r="E87" s="14">
        <f t="shared" ref="E87:G87" si="36">E86</f>
        <v>19040</v>
      </c>
      <c r="F87" s="14">
        <f t="shared" si="36"/>
        <v>6882</v>
      </c>
      <c r="G87" s="14">
        <f t="shared" si="36"/>
        <v>36420.300000000003</v>
      </c>
      <c r="H87" s="28">
        <f>H86</f>
        <v>17601.3</v>
      </c>
    </row>
    <row r="88" spans="1:11" ht="15" thickBot="1" x14ac:dyDescent="0.35">
      <c r="A88" s="9"/>
      <c r="B88" s="10"/>
      <c r="C88" s="29"/>
      <c r="D88" s="29"/>
      <c r="E88" s="29"/>
      <c r="F88" s="29"/>
      <c r="G88" s="29"/>
      <c r="H88" s="30"/>
    </row>
    <row r="89" spans="1:11" x14ac:dyDescent="0.3">
      <c r="A89" s="26">
        <f>+A83</f>
        <v>2024</v>
      </c>
      <c r="B89" s="27" t="s">
        <v>7</v>
      </c>
      <c r="C89" s="41"/>
      <c r="D89" s="41"/>
      <c r="E89" s="41"/>
      <c r="F89" s="41"/>
      <c r="G89" s="41"/>
      <c r="H89" s="42"/>
      <c r="I89" s="158" t="s">
        <v>84</v>
      </c>
    </row>
    <row r="90" spans="1:11" x14ac:dyDescent="0.3">
      <c r="A90" s="9">
        <f>A89</f>
        <v>2024</v>
      </c>
      <c r="B90" s="13" t="s">
        <v>12</v>
      </c>
      <c r="C90" s="17">
        <v>8.9300000000000004E-3</v>
      </c>
      <c r="D90" s="17">
        <f>C90</f>
        <v>8.9300000000000004E-3</v>
      </c>
      <c r="E90" s="17">
        <f>+D90</f>
        <v>8.9300000000000004E-3</v>
      </c>
      <c r="F90" s="211">
        <f>E90</f>
        <v>8.9300000000000004E-3</v>
      </c>
      <c r="G90" s="211">
        <v>1.1390000000000001E-2</v>
      </c>
      <c r="H90" s="31">
        <f>G90</f>
        <v>1.1390000000000001E-2</v>
      </c>
      <c r="I90" s="159">
        <f>G90/F90-1</f>
        <v>0.27547592385218378</v>
      </c>
    </row>
    <row r="91" spans="1:11" ht="15" thickBot="1" x14ac:dyDescent="0.35">
      <c r="A91" s="9">
        <f t="shared" ref="A91" si="37">A90</f>
        <v>2024</v>
      </c>
      <c r="B91" s="19" t="s">
        <v>13</v>
      </c>
      <c r="C91" s="20">
        <v>3.2480000000000002E-2</v>
      </c>
      <c r="D91" s="20">
        <f>C91</f>
        <v>3.2480000000000002E-2</v>
      </c>
      <c r="E91" s="20">
        <f>+D91</f>
        <v>3.2480000000000002E-2</v>
      </c>
      <c r="F91" s="20">
        <f>E91</f>
        <v>3.2480000000000002E-2</v>
      </c>
      <c r="G91" s="160">
        <f>F91</f>
        <v>3.2480000000000002E-2</v>
      </c>
      <c r="H91" s="161">
        <f>G91</f>
        <v>3.2480000000000002E-2</v>
      </c>
      <c r="I91" s="159">
        <f>H91/G91-1</f>
        <v>0</v>
      </c>
    </row>
    <row r="95" spans="1:11" ht="15" thickBot="1" x14ac:dyDescent="0.35"/>
    <row r="96" spans="1:11" ht="26.4" customHeight="1" thickBot="1" x14ac:dyDescent="0.35">
      <c r="A96" s="38">
        <v>2023</v>
      </c>
      <c r="B96" s="97" t="s">
        <v>48</v>
      </c>
      <c r="C96" s="72" t="s">
        <v>2</v>
      </c>
      <c r="D96" s="72" t="s">
        <v>3</v>
      </c>
      <c r="E96" s="72" t="s">
        <v>106</v>
      </c>
      <c r="F96" s="72" t="s">
        <v>4</v>
      </c>
      <c r="G96" s="72" t="s">
        <v>49</v>
      </c>
      <c r="H96" s="73" t="s">
        <v>6</v>
      </c>
      <c r="I96" s="57" t="str">
        <f>I68</f>
        <v>TOTAL FACTURES</v>
      </c>
      <c r="J96" s="57" t="str">
        <f>J68</f>
        <v>Quote part réchauffement eau</v>
      </c>
      <c r="K96" s="57" t="str">
        <f>K68</f>
        <v>TOTAL COMPTE COMBUSTIBLE</v>
      </c>
    </row>
    <row r="97" spans="1:11" x14ac:dyDescent="0.3">
      <c r="A97" s="5">
        <v>2023</v>
      </c>
      <c r="B97" s="6" t="s">
        <v>1</v>
      </c>
      <c r="C97" s="74">
        <f>SUM(C98:C103)</f>
        <v>3198.5200000000004</v>
      </c>
      <c r="D97" s="74">
        <f>SUM(D98:D103)</f>
        <v>1090.53</v>
      </c>
      <c r="E97" s="74">
        <f t="shared" ref="E97:H97" si="38">SUM(E98:E103)</f>
        <v>1090.53</v>
      </c>
      <c r="F97" s="74">
        <f t="shared" si="38"/>
        <v>1095.43</v>
      </c>
      <c r="G97" s="74">
        <f t="shared" si="38"/>
        <v>3793.1000000000004</v>
      </c>
      <c r="H97" s="74">
        <f t="shared" si="38"/>
        <v>364.96000000000004</v>
      </c>
      <c r="I97" s="58">
        <f>SUM(C97:H97)</f>
        <v>10633.07</v>
      </c>
      <c r="J97" s="60">
        <v>-1859.68</v>
      </c>
      <c r="K97" s="59">
        <f>I97+J97</f>
        <v>8773.39</v>
      </c>
    </row>
    <row r="98" spans="1:11" x14ac:dyDescent="0.3">
      <c r="A98" s="9">
        <f>A97</f>
        <v>2023</v>
      </c>
      <c r="B98" s="10" t="s">
        <v>8</v>
      </c>
      <c r="C98" s="75">
        <v>2.2999999999999998</v>
      </c>
      <c r="D98" s="75">
        <v>2.38</v>
      </c>
      <c r="E98" s="75">
        <f>D98</f>
        <v>2.38</v>
      </c>
      <c r="F98" s="75">
        <v>2.42</v>
      </c>
      <c r="G98" s="75">
        <v>2.38</v>
      </c>
      <c r="H98" s="76">
        <v>2.38</v>
      </c>
      <c r="I98" s="4"/>
      <c r="J98" s="2"/>
    </row>
    <row r="99" spans="1:11" x14ac:dyDescent="0.3">
      <c r="A99" s="9">
        <f t="shared" ref="A99:A103" si="39">A98</f>
        <v>2023</v>
      </c>
      <c r="B99" s="10" t="s">
        <v>14</v>
      </c>
      <c r="C99" s="75">
        <v>22.26</v>
      </c>
      <c r="D99" s="75">
        <v>22.26</v>
      </c>
      <c r="E99" s="75">
        <f t="shared" ref="E99:E103" si="40">D99</f>
        <v>22.26</v>
      </c>
      <c r="F99" s="75">
        <v>23.24</v>
      </c>
      <c r="G99" s="75">
        <v>23.24</v>
      </c>
      <c r="H99" s="76">
        <v>23.24</v>
      </c>
      <c r="I99" s="4"/>
      <c r="J99" s="2"/>
    </row>
    <row r="100" spans="1:11" x14ac:dyDescent="0.3">
      <c r="A100" s="9">
        <f t="shared" si="39"/>
        <v>2023</v>
      </c>
      <c r="B100" s="10" t="s">
        <v>15</v>
      </c>
      <c r="C100" s="75">
        <v>456.63</v>
      </c>
      <c r="D100" s="77">
        <v>152.85</v>
      </c>
      <c r="E100" s="75">
        <f t="shared" si="40"/>
        <v>152.85</v>
      </c>
      <c r="F100" s="75">
        <v>155.85</v>
      </c>
      <c r="G100" s="75">
        <v>562.09</v>
      </c>
      <c r="H100" s="76">
        <v>49.62</v>
      </c>
      <c r="I100" s="4"/>
      <c r="J100" s="2"/>
    </row>
    <row r="101" spans="1:11" x14ac:dyDescent="0.3">
      <c r="A101" s="9">
        <f t="shared" si="39"/>
        <v>2023</v>
      </c>
      <c r="B101" s="65" t="s">
        <v>10</v>
      </c>
      <c r="C101" s="224">
        <v>1732.65</v>
      </c>
      <c r="D101" s="224">
        <v>579.96</v>
      </c>
      <c r="E101" s="224">
        <f t="shared" si="40"/>
        <v>579.96</v>
      </c>
      <c r="F101" s="224">
        <f>E101</f>
        <v>579.96</v>
      </c>
      <c r="G101" s="224">
        <v>2044.42</v>
      </c>
      <c r="H101" s="225">
        <v>180.45</v>
      </c>
    </row>
    <row r="102" spans="1:11" x14ac:dyDescent="0.3">
      <c r="A102" s="9">
        <f t="shared" si="39"/>
        <v>2023</v>
      </c>
      <c r="B102" s="10" t="s">
        <v>11</v>
      </c>
      <c r="C102" s="75">
        <v>455.23</v>
      </c>
      <c r="D102" s="75">
        <v>154.97999999999999</v>
      </c>
      <c r="E102" s="75">
        <f t="shared" si="40"/>
        <v>154.97999999999999</v>
      </c>
      <c r="F102" s="75">
        <v>155.18</v>
      </c>
      <c r="G102" s="75">
        <v>532.57000000000005</v>
      </c>
      <c r="H102" s="76">
        <v>52.23</v>
      </c>
    </row>
    <row r="103" spans="1:11" ht="15" thickBot="1" x14ac:dyDescent="0.35">
      <c r="A103" s="9">
        <f t="shared" si="39"/>
        <v>2023</v>
      </c>
      <c r="B103" s="10" t="s">
        <v>9</v>
      </c>
      <c r="C103" s="75">
        <v>529.45000000000005</v>
      </c>
      <c r="D103" s="75">
        <v>178.1</v>
      </c>
      <c r="E103" s="75">
        <f t="shared" si="40"/>
        <v>178.1</v>
      </c>
      <c r="F103" s="75">
        <v>178.78</v>
      </c>
      <c r="G103" s="75">
        <v>628.4</v>
      </c>
      <c r="H103" s="76">
        <v>57.04</v>
      </c>
    </row>
    <row r="104" spans="1:11" x14ac:dyDescent="0.3">
      <c r="A104" s="22"/>
      <c r="B104" s="23"/>
      <c r="C104" s="78"/>
      <c r="D104" s="78"/>
      <c r="E104" s="78"/>
      <c r="F104" s="78"/>
      <c r="G104" s="78"/>
      <c r="H104" s="79"/>
    </row>
    <row r="105" spans="1:11" ht="28.8" x14ac:dyDescent="0.3">
      <c r="A105" s="47">
        <f>A97</f>
        <v>2023</v>
      </c>
      <c r="B105" s="48" t="s">
        <v>28</v>
      </c>
      <c r="C105" s="209" t="s">
        <v>105</v>
      </c>
      <c r="D105" s="80" t="s">
        <v>30</v>
      </c>
      <c r="E105" s="80" t="s">
        <v>30</v>
      </c>
      <c r="F105" s="80" t="s">
        <v>30</v>
      </c>
      <c r="G105" s="80" t="s">
        <v>30</v>
      </c>
      <c r="H105" s="209" t="s">
        <v>112</v>
      </c>
      <c r="I105" s="4" t="s">
        <v>43</v>
      </c>
    </row>
    <row r="106" spans="1:11" x14ac:dyDescent="0.3">
      <c r="A106" s="9"/>
      <c r="B106" s="10" t="s">
        <v>29</v>
      </c>
      <c r="C106" s="81">
        <v>155731</v>
      </c>
      <c r="D106" s="81">
        <v>157331</v>
      </c>
      <c r="E106" s="81">
        <v>158931</v>
      </c>
      <c r="F106" s="81">
        <v>160531</v>
      </c>
      <c r="G106" s="81">
        <v>166141</v>
      </c>
      <c r="H106" s="82">
        <f>166520+3+1303</f>
        <v>167826</v>
      </c>
      <c r="I106" s="4"/>
    </row>
    <row r="107" spans="1:11" x14ac:dyDescent="0.3">
      <c r="A107" s="9"/>
      <c r="B107" s="10" t="s">
        <v>31</v>
      </c>
      <c r="C107" s="81">
        <v>150951</v>
      </c>
      <c r="D107" s="81">
        <f>C106</f>
        <v>155731</v>
      </c>
      <c r="E107" s="81">
        <f t="shared" ref="E107:H107" si="41">D106</f>
        <v>157331</v>
      </c>
      <c r="F107" s="81">
        <f t="shared" si="41"/>
        <v>158931</v>
      </c>
      <c r="G107" s="81">
        <f t="shared" si="41"/>
        <v>160531</v>
      </c>
      <c r="H107" s="81">
        <f t="shared" si="41"/>
        <v>166141</v>
      </c>
      <c r="I107" s="4"/>
    </row>
    <row r="108" spans="1:11" x14ac:dyDescent="0.3">
      <c r="A108" s="9"/>
      <c r="B108" s="65" t="s">
        <v>32</v>
      </c>
      <c r="C108" s="83">
        <f>C106-C107</f>
        <v>4780</v>
      </c>
      <c r="D108" s="83">
        <f>D106-D107</f>
        <v>1600</v>
      </c>
      <c r="E108" s="83">
        <f>E106-E107</f>
        <v>1600</v>
      </c>
      <c r="F108" s="83">
        <f t="shared" ref="F108:H108" si="42">F106-F107</f>
        <v>1600</v>
      </c>
      <c r="G108" s="83">
        <f t="shared" si="42"/>
        <v>5610</v>
      </c>
      <c r="H108" s="84">
        <f t="shared" si="42"/>
        <v>1685</v>
      </c>
      <c r="I108" s="34">
        <f>SUM(C108:H108)</f>
        <v>16875</v>
      </c>
    </row>
    <row r="109" spans="1:11" x14ac:dyDescent="0.3">
      <c r="A109" s="9"/>
      <c r="B109" s="10" t="s">
        <v>33</v>
      </c>
      <c r="C109" s="85">
        <v>11.16</v>
      </c>
      <c r="D109" s="85">
        <v>11.16</v>
      </c>
      <c r="E109" s="85">
        <f>D109</f>
        <v>11.16</v>
      </c>
      <c r="F109" s="222">
        <v>11.16</v>
      </c>
      <c r="G109" s="223">
        <v>11.22</v>
      </c>
      <c r="H109" s="76">
        <v>11.22</v>
      </c>
    </row>
    <row r="110" spans="1:11" ht="15" thickBot="1" x14ac:dyDescent="0.35">
      <c r="A110" s="9"/>
      <c r="B110" s="10"/>
      <c r="C110" s="85"/>
      <c r="D110" s="85"/>
      <c r="E110" s="85"/>
      <c r="F110" s="75"/>
      <c r="G110" s="75"/>
      <c r="H110" s="76"/>
    </row>
    <row r="111" spans="1:11" ht="28.2" customHeight="1" x14ac:dyDescent="0.3">
      <c r="A111" s="26">
        <f>+A105</f>
        <v>2023</v>
      </c>
      <c r="B111" s="27" t="s">
        <v>72</v>
      </c>
      <c r="C111" s="86" t="s">
        <v>107</v>
      </c>
      <c r="D111" s="86" t="s">
        <v>108</v>
      </c>
      <c r="E111" s="86" t="s">
        <v>109</v>
      </c>
      <c r="F111" s="87" t="s">
        <v>110</v>
      </c>
      <c r="G111" s="86" t="s">
        <v>111</v>
      </c>
      <c r="H111" s="88" t="s">
        <v>113</v>
      </c>
    </row>
    <row r="112" spans="1:11" x14ac:dyDescent="0.3">
      <c r="A112" s="9"/>
      <c r="B112" s="13" t="s">
        <v>12</v>
      </c>
      <c r="C112" s="81">
        <v>53345</v>
      </c>
      <c r="D112" s="81">
        <v>17856</v>
      </c>
      <c r="E112" s="81">
        <v>17856</v>
      </c>
      <c r="F112" s="81">
        <f>9740+8116</f>
        <v>17856</v>
      </c>
      <c r="G112" s="81">
        <v>62944</v>
      </c>
      <c r="H112" s="82">
        <v>5556</v>
      </c>
    </row>
    <row r="113" spans="1:8" x14ac:dyDescent="0.3">
      <c r="A113" s="9"/>
      <c r="B113" s="13" t="s">
        <v>13</v>
      </c>
      <c r="C113" s="81">
        <f>C112</f>
        <v>53345</v>
      </c>
      <c r="D113" s="81">
        <v>17856</v>
      </c>
      <c r="E113" s="81">
        <f>E108*E109</f>
        <v>17856</v>
      </c>
      <c r="F113" s="81">
        <f>F112</f>
        <v>17856</v>
      </c>
      <c r="G113" s="81">
        <f>G112</f>
        <v>62944</v>
      </c>
      <c r="H113" s="82"/>
    </row>
    <row r="114" spans="1:8" ht="15" thickBot="1" x14ac:dyDescent="0.35">
      <c r="A114" s="9"/>
      <c r="B114" s="10"/>
      <c r="C114" s="89"/>
      <c r="D114" s="89"/>
      <c r="E114" s="89"/>
      <c r="F114" s="89"/>
      <c r="G114" s="89"/>
      <c r="H114" s="90"/>
    </row>
    <row r="115" spans="1:8" x14ac:dyDescent="0.3">
      <c r="A115" s="26">
        <f>+A111</f>
        <v>2023</v>
      </c>
      <c r="B115" s="27" t="s">
        <v>7</v>
      </c>
      <c r="C115" s="91"/>
      <c r="D115" s="91"/>
      <c r="E115" s="91"/>
      <c r="F115" s="91"/>
      <c r="G115" s="91"/>
      <c r="H115" s="92"/>
    </row>
    <row r="116" spans="1:8" x14ac:dyDescent="0.3">
      <c r="A116" s="9"/>
      <c r="B116" s="13" t="s">
        <v>12</v>
      </c>
      <c r="C116" s="93">
        <v>8.5599999999999999E-3</v>
      </c>
      <c r="D116" s="93">
        <f>C116</f>
        <v>8.5599999999999999E-3</v>
      </c>
      <c r="E116" s="93">
        <f>D116</f>
        <v>8.5599999999999999E-3</v>
      </c>
      <c r="F116" s="93">
        <f>E116</f>
        <v>8.5599999999999999E-3</v>
      </c>
      <c r="G116" s="93">
        <f>F116</f>
        <v>8.5599999999999999E-3</v>
      </c>
      <c r="H116" s="94">
        <f>G116</f>
        <v>8.5599999999999999E-3</v>
      </c>
    </row>
    <row r="117" spans="1:8" ht="15" thickBot="1" x14ac:dyDescent="0.35">
      <c r="A117" s="18"/>
      <c r="B117" s="19" t="s">
        <v>13</v>
      </c>
      <c r="C117" s="95">
        <v>3.2480000000000002E-2</v>
      </c>
      <c r="D117" s="95">
        <f>C117</f>
        <v>3.2480000000000002E-2</v>
      </c>
      <c r="E117" s="95">
        <f>D117</f>
        <v>3.2480000000000002E-2</v>
      </c>
      <c r="F117" s="95">
        <f>E117</f>
        <v>3.2480000000000002E-2</v>
      </c>
      <c r="G117" s="95">
        <f>F117</f>
        <v>3.2480000000000002E-2</v>
      </c>
      <c r="H117" s="96">
        <f>G117</f>
        <v>3.2480000000000002E-2</v>
      </c>
    </row>
    <row r="120" spans="1:8" x14ac:dyDescent="0.3">
      <c r="C120" s="105"/>
    </row>
  </sheetData>
  <pageMargins left="0.7" right="0.7" top="0.75" bottom="0.75" header="0.3" footer="0.3"/>
  <pageSetup paperSize="9" scale="54" fitToHeight="0" orientation="portrait" r:id="rId1"/>
  <rowBreaks count="1" manualBreakCount="1">
    <brk id="64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DBC4-D5DB-45B4-8586-D9006D191339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Analyse consommation</vt:lpstr>
      <vt:lpstr>FACTURES GAZ</vt:lpstr>
      <vt:lpstr>Sheet2</vt:lpstr>
      <vt:lpstr>'Analyse consommation'!Print_Area</vt:lpstr>
      <vt:lpstr>'FACTURES GAZ'!Print_Area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suzzoni</dc:creator>
  <cp:lastModifiedBy>Sandrine suzzoni</cp:lastModifiedBy>
  <cp:lastPrinted>2026-05-20T07:19:33Z</cp:lastPrinted>
  <dcterms:created xsi:type="dcterms:W3CDTF">2026-05-10T17:18:12Z</dcterms:created>
  <dcterms:modified xsi:type="dcterms:W3CDTF">2026-05-30T17:52:19Z</dcterms:modified>
</cp:coreProperties>
</file>